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464A39AC8AC6EE89B7B25FC252D933573E55AC63" xr6:coauthVersionLast="47" xr6:coauthVersionMax="47" xr10:uidLastSave="{56183EF6-D9A5-4A64-81E4-F8C31BE26B1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F129" i="3" s="1"/>
  <c r="M4" i="1"/>
  <c r="M3" i="1"/>
  <c r="M2" i="1"/>
  <c r="R204" i="3"/>
  <c r="R203" i="3"/>
  <c r="R202" i="3"/>
  <c r="R201" i="3"/>
  <c r="R200" i="3"/>
  <c r="R199" i="3"/>
  <c r="R198" i="3"/>
  <c r="R197" i="3"/>
  <c r="R196" i="3"/>
  <c r="R195" i="3"/>
  <c r="R194" i="3"/>
  <c r="R193" i="3"/>
  <c r="R192" i="3"/>
  <c r="R191" i="3"/>
  <c r="R190" i="3"/>
  <c r="R189" i="3"/>
  <c r="R188" i="3"/>
  <c r="R187" i="3"/>
  <c r="R186" i="3"/>
  <c r="R185" i="3"/>
  <c r="O129" i="3"/>
  <c r="N129" i="3"/>
  <c r="M129" i="3"/>
  <c r="L129" i="3"/>
  <c r="K129" i="3"/>
  <c r="E129" i="3"/>
  <c r="O128" i="3"/>
  <c r="N128" i="3"/>
  <c r="M128" i="3"/>
  <c r="L128" i="3"/>
  <c r="K128" i="3"/>
  <c r="F128" i="3"/>
  <c r="E128" i="3"/>
  <c r="G128" i="3" s="1"/>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E110" i="3"/>
  <c r="F110" i="3" s="1"/>
  <c r="D110" i="3"/>
  <c r="C110" i="3"/>
  <c r="E109" i="3"/>
  <c r="D109" i="3"/>
  <c r="C109" i="3"/>
  <c r="F109" i="3" s="1"/>
  <c r="E108" i="3"/>
  <c r="D108" i="3"/>
  <c r="F108" i="3" s="1"/>
  <c r="C108" i="3"/>
  <c r="E107" i="3"/>
  <c r="D107" i="3"/>
  <c r="C107" i="3"/>
  <c r="F107" i="3" s="1"/>
  <c r="E90" i="3"/>
  <c r="D90" i="3"/>
  <c r="C90" i="3"/>
  <c r="F90" i="3" s="1"/>
  <c r="E89" i="3"/>
  <c r="D89" i="3"/>
  <c r="C89" i="3"/>
  <c r="F89" i="3" s="1"/>
  <c r="E88" i="3"/>
  <c r="D88" i="3"/>
  <c r="C88" i="3"/>
  <c r="W140" i="3" s="1"/>
  <c r="E87" i="3"/>
  <c r="D87" i="3"/>
  <c r="C87" i="3"/>
  <c r="U140" i="3" s="1"/>
  <c r="E86" i="3"/>
  <c r="D86" i="3"/>
  <c r="C86" i="3"/>
  <c r="S140" i="3" s="1"/>
  <c r="E71" i="3"/>
  <c r="D71" i="3"/>
  <c r="C71" i="3"/>
  <c r="F71" i="3" s="1"/>
  <c r="E70" i="3"/>
  <c r="D70" i="3"/>
  <c r="C70" i="3"/>
  <c r="F70" i="3" s="1"/>
  <c r="E69" i="3"/>
  <c r="D69" i="3"/>
  <c r="F69" i="3" s="1"/>
  <c r="C69" i="3"/>
  <c r="F51" i="3"/>
  <c r="E60" i="3" s="1"/>
  <c r="E51" i="3"/>
  <c r="D51" i="3"/>
  <c r="C51" i="3"/>
  <c r="E50" i="3"/>
  <c r="D50" i="3"/>
  <c r="C50" i="3"/>
  <c r="F50" i="3" s="1"/>
  <c r="E49" i="3"/>
  <c r="D49" i="3"/>
  <c r="C49" i="3"/>
  <c r="F49" i="3" s="1"/>
  <c r="E48" i="3"/>
  <c r="D48" i="3"/>
  <c r="C48" i="3"/>
  <c r="F48" i="3" s="1"/>
  <c r="E47" i="3"/>
  <c r="D47" i="3"/>
  <c r="F47" i="3" s="1"/>
  <c r="C47" i="3"/>
  <c r="E46" i="3"/>
  <c r="F46" i="3" s="1"/>
  <c r="D46" i="3"/>
  <c r="C46" i="3"/>
  <c r="E31" i="3"/>
  <c r="D31" i="3"/>
  <c r="C31" i="3"/>
  <c r="F31" i="3" s="1"/>
  <c r="E30" i="3"/>
  <c r="D30" i="3"/>
  <c r="C30" i="3"/>
  <c r="F30" i="3" s="1"/>
  <c r="F29" i="3"/>
  <c r="E35" i="3" s="1"/>
  <c r="E29" i="3"/>
  <c r="D29" i="3"/>
  <c r="C29" i="3"/>
  <c r="E16" i="3"/>
  <c r="D16" i="3"/>
  <c r="C16" i="3"/>
  <c r="F16" i="3" s="1"/>
  <c r="C9" i="3"/>
  <c r="D9" i="3" s="1"/>
  <c r="C8" i="3"/>
  <c r="D8" i="3" s="1"/>
  <c r="C7" i="3"/>
  <c r="D7" i="3" s="1"/>
  <c r="D114" i="3" l="1"/>
  <c r="E114" i="3"/>
  <c r="C114" i="3"/>
  <c r="E77" i="3"/>
  <c r="D77" i="3"/>
  <c r="C77" i="3"/>
  <c r="E57" i="3"/>
  <c r="D57" i="3"/>
  <c r="C57" i="3"/>
  <c r="R169" i="3"/>
  <c r="R164" i="3"/>
  <c r="R159" i="3"/>
  <c r="R154" i="3"/>
  <c r="R149" i="3"/>
  <c r="R144" i="3"/>
  <c r="R168" i="3"/>
  <c r="R163" i="3"/>
  <c r="R158" i="3"/>
  <c r="R153" i="3"/>
  <c r="R148" i="3"/>
  <c r="R143" i="3"/>
  <c r="E20" i="3"/>
  <c r="R172" i="3"/>
  <c r="R167" i="3"/>
  <c r="R162" i="3"/>
  <c r="R157" i="3"/>
  <c r="R152" i="3"/>
  <c r="R147" i="3"/>
  <c r="R142" i="3"/>
  <c r="D20" i="3"/>
  <c r="C20" i="3"/>
  <c r="R171" i="3"/>
  <c r="R166" i="3"/>
  <c r="R161" i="3"/>
  <c r="R156" i="3"/>
  <c r="R151" i="3"/>
  <c r="R146" i="3"/>
  <c r="R170" i="3"/>
  <c r="R165" i="3"/>
  <c r="R160" i="3"/>
  <c r="R155" i="3"/>
  <c r="R150" i="3"/>
  <c r="R145" i="3"/>
  <c r="E115" i="3"/>
  <c r="D115" i="3"/>
  <c r="C115" i="3"/>
  <c r="E116" i="3"/>
  <c r="D116" i="3"/>
  <c r="C116" i="3"/>
  <c r="C58" i="3"/>
  <c r="E58" i="3"/>
  <c r="D58" i="3"/>
  <c r="D56" i="3"/>
  <c r="E56" i="3"/>
  <c r="C56" i="3"/>
  <c r="E117" i="3"/>
  <c r="D117" i="3"/>
  <c r="C117" i="3"/>
  <c r="D97" i="3"/>
  <c r="E97" i="3"/>
  <c r="C97" i="3"/>
  <c r="E76" i="3"/>
  <c r="D76" i="3"/>
  <c r="C76" i="3"/>
  <c r="E37" i="3"/>
  <c r="D37" i="3"/>
  <c r="C37" i="3"/>
  <c r="E98" i="3"/>
  <c r="C98" i="3"/>
  <c r="D98" i="3"/>
  <c r="C55" i="3"/>
  <c r="E55" i="3"/>
  <c r="D55" i="3"/>
  <c r="G129" i="3"/>
  <c r="E59" i="3"/>
  <c r="D59" i="3"/>
  <c r="C59" i="3"/>
  <c r="E36" i="3"/>
  <c r="C36" i="3"/>
  <c r="D36" i="3"/>
  <c r="E75" i="3"/>
  <c r="D75" i="3"/>
  <c r="C75" i="3"/>
  <c r="F87" i="3"/>
  <c r="C35" i="3"/>
  <c r="D35" i="3"/>
  <c r="Q140" i="3"/>
  <c r="F86" i="3"/>
  <c r="F88" i="3"/>
  <c r="C60" i="3"/>
  <c r="D60" i="3"/>
  <c r="D95" i="3" l="1"/>
  <c r="V168" i="3"/>
  <c r="V163" i="3"/>
  <c r="V158" i="3"/>
  <c r="V153" i="3"/>
  <c r="V148" i="3"/>
  <c r="V143" i="3"/>
  <c r="V172" i="3"/>
  <c r="V167" i="3"/>
  <c r="V162" i="3"/>
  <c r="V157" i="3"/>
  <c r="V152" i="3"/>
  <c r="V147" i="3"/>
  <c r="V142" i="3"/>
  <c r="V171" i="3"/>
  <c r="V166" i="3"/>
  <c r="V161" i="3"/>
  <c r="V156" i="3"/>
  <c r="V151" i="3"/>
  <c r="V146" i="3"/>
  <c r="C95" i="3"/>
  <c r="V170" i="3"/>
  <c r="V165" i="3"/>
  <c r="V160" i="3"/>
  <c r="V155" i="3"/>
  <c r="V150" i="3"/>
  <c r="V145" i="3"/>
  <c r="V169" i="3"/>
  <c r="V164" i="3"/>
  <c r="V159" i="3"/>
  <c r="V154" i="3"/>
  <c r="V149" i="3"/>
  <c r="V144" i="3"/>
  <c r="E95" i="3"/>
  <c r="X168" i="3"/>
  <c r="X163" i="3"/>
  <c r="X158" i="3"/>
  <c r="X153" i="3"/>
  <c r="X148" i="3"/>
  <c r="X143" i="3"/>
  <c r="X172" i="3"/>
  <c r="X167" i="3"/>
  <c r="X162" i="3"/>
  <c r="X157" i="3"/>
  <c r="X152" i="3"/>
  <c r="X147" i="3"/>
  <c r="X142" i="3"/>
  <c r="X171" i="3"/>
  <c r="X166" i="3"/>
  <c r="X161" i="3"/>
  <c r="X156" i="3"/>
  <c r="X151" i="3"/>
  <c r="X146" i="3"/>
  <c r="X170" i="3"/>
  <c r="X165" i="3"/>
  <c r="X160" i="3"/>
  <c r="X155" i="3"/>
  <c r="X150" i="3"/>
  <c r="X145" i="3"/>
  <c r="E96" i="3"/>
  <c r="D96" i="3"/>
  <c r="X169" i="3"/>
  <c r="X164" i="3"/>
  <c r="X159" i="3"/>
  <c r="X154" i="3"/>
  <c r="X149" i="3"/>
  <c r="X144" i="3"/>
  <c r="C96" i="3"/>
  <c r="T169" i="3"/>
  <c r="T164" i="3"/>
  <c r="T159" i="3"/>
  <c r="T154" i="3"/>
  <c r="T149" i="3"/>
  <c r="T144" i="3"/>
  <c r="E94" i="3"/>
  <c r="D94" i="3"/>
  <c r="T168" i="3"/>
  <c r="T163" i="3"/>
  <c r="T158" i="3"/>
  <c r="T153" i="3"/>
  <c r="T148" i="3"/>
  <c r="T143" i="3"/>
  <c r="C94" i="3"/>
  <c r="T172" i="3"/>
  <c r="T167" i="3"/>
  <c r="T162" i="3"/>
  <c r="T157" i="3"/>
  <c r="T152" i="3"/>
  <c r="T147" i="3"/>
  <c r="T142" i="3"/>
  <c r="T171" i="3"/>
  <c r="T166" i="3"/>
  <c r="T161" i="3"/>
  <c r="T156" i="3"/>
  <c r="T151" i="3"/>
  <c r="T146" i="3"/>
  <c r="T170" i="3"/>
  <c r="T165" i="3"/>
  <c r="T160" i="3"/>
  <c r="T155" i="3"/>
  <c r="T150" i="3"/>
  <c r="T14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5" authorId="0" shapeId="0" xr:uid="{00000000-0006-0000-0400-000001000000}">
      <text>
        <r>
          <rPr>
            <sz val="11"/>
            <rFont val="Calibri"/>
          </rPr>
          <t>The ESXi Image Profile and VIB Acceptance Levels must be verified.</t>
        </r>
      </text>
    </comment>
    <comment ref="J26" authorId="0" shapeId="0" xr:uid="{00000000-0006-0000-0400-000002000000}">
      <text>
        <r>
          <rPr>
            <sz val="11"/>
            <rFont val="Calibri"/>
          </rPr>
          <t>The ESXi host SSH daemon must use DoD-approved encryption to protect the confidentiality of remote access sessions.</t>
        </r>
      </text>
    </comment>
    <comment ref="K26" authorId="0" shapeId="0" xr:uid="{00000000-0006-0000-0400-000008000000}">
      <text>
        <r>
          <rPr>
            <sz val="11"/>
            <rFont val="Calibri"/>
          </rPr>
          <t>The ESXi host SSH daemon must be configured to only use Message Authentication Codes (MACs) employing FIPS 140-2 approved cryptographic hash algorithms.</t>
        </r>
      </text>
    </comment>
    <comment ref="L26" authorId="0" shapeId="0" xr:uid="{00000000-0006-0000-0400-000003000000}">
      <text>
        <r>
          <rPr>
            <sz val="11"/>
            <rFont val="Calibri"/>
          </rPr>
          <t>The vCenter Server for Windows must enable SSL for Network File Copy (NFC).</t>
        </r>
      </text>
    </comment>
    <comment ref="M26" authorId="0" shapeId="0" xr:uid="{00000000-0006-0000-0400-000004000000}">
      <text>
        <r>
          <rPr>
            <sz val="11"/>
            <rFont val="Calibri"/>
          </rPr>
          <t>The vCenter Server for Windows must enable TLS 1.2 exclusively.</t>
        </r>
      </text>
    </comment>
    <comment ref="N26" authorId="0" shapeId="0" xr:uid="{00000000-0006-0000-0400-000005000000}">
      <text>
        <r>
          <rPr>
            <sz val="11"/>
            <rFont val="Calibri"/>
          </rPr>
          <t>The vCenter Server for Windows must use LDAPS when adding an SSO identity source.</t>
        </r>
      </text>
    </comment>
    <comment ref="O26" authorId="0" shapeId="0" xr:uid="{00000000-0006-0000-0400-000006000000}">
      <text>
        <r>
          <rPr>
            <sz val="11"/>
            <rFont val="Calibri"/>
          </rPr>
          <t>Encryption must be enabled for vMotion on the virtual machine.</t>
        </r>
      </text>
    </comment>
    <comment ref="P26" authorId="0" shapeId="0" xr:uid="{00000000-0006-0000-0400-000007000000}">
      <text>
        <r>
          <rPr>
            <sz val="11"/>
            <rFont val="Calibri"/>
          </rPr>
          <t>The ESXi host must protect the confidentiality and integrity of transmitted information.</t>
        </r>
      </text>
    </comment>
    <comment ref="J32" authorId="0" shapeId="0" xr:uid="{00000000-0006-0000-0400-000009000000}">
      <text>
        <r>
          <rPr>
            <sz val="11"/>
            <rFont val="Calibri"/>
          </rPr>
          <t>System administrators must use templates to deploy virtual machines whenever possible.</t>
        </r>
      </text>
    </comment>
    <comment ref="J34" authorId="0" shapeId="0" xr:uid="{00000000-0006-0000-0400-00000A000000}">
      <text>
        <r>
          <rPr>
            <sz val="11"/>
            <rFont val="Calibri"/>
          </rPr>
          <t>The ESXi host must set a timeout to automatically disable idle sessions after 10 minutes.</t>
        </r>
      </text>
    </comment>
    <comment ref="K34" authorId="0" shapeId="0" xr:uid="{00000000-0006-0000-0400-00000B000000}">
      <text>
        <r>
          <rPr>
            <sz val="11"/>
            <rFont val="Calibri"/>
          </rPr>
          <t>The ESXi host must terminate shell services after 10 minutes.</t>
        </r>
      </text>
    </comment>
    <comment ref="L34" authorId="0" shapeId="0" xr:uid="{00000000-0006-0000-0400-00000C000000}">
      <text>
        <r>
          <rPr>
            <sz val="11"/>
            <rFont val="Calibri"/>
          </rPr>
          <t>The ESXi host must logout of the console UI after 10 minutes.</t>
        </r>
      </text>
    </comment>
    <comment ref="M34" authorId="0" shapeId="0" xr:uid="{00000000-0006-0000-0400-00000D000000}">
      <text>
        <r>
          <rPr>
            <sz val="11"/>
            <rFont val="Calibri"/>
          </rPr>
          <t>The vCenter Server for Windows must terminate management sessions after 10 minutes of inactivity.</t>
        </r>
      </text>
    </comment>
    <comment ref="J35" authorId="0" shapeId="0" xr:uid="{00000000-0006-0000-0400-00000E000000}">
      <text>
        <r>
          <rPr>
            <sz val="11"/>
            <rFont val="Calibri"/>
          </rPr>
          <t>The ESXi host must configure the firewall to restrict access to services running on the host.</t>
        </r>
      </text>
    </comment>
    <comment ref="K35" authorId="0" shapeId="0" xr:uid="{00000000-0006-0000-0400-00000F000000}">
      <text>
        <r>
          <rPr>
            <sz val="11"/>
            <rFont val="Calibri"/>
          </rPr>
          <t>The ESXi host must configure the firewall to block network traffic by default.</t>
        </r>
      </text>
    </comment>
    <comment ref="J38" authorId="0" shapeId="0" xr:uid="{00000000-0006-0000-0400-000010000000}">
      <text>
        <r>
          <rPr>
            <sz val="11"/>
            <rFont val="Calibri"/>
          </rPr>
          <t>The ESXi host SSH daemon must not permit root logins.</t>
        </r>
      </text>
    </comment>
    <comment ref="K38" authorId="0" shapeId="0" xr:uid="{00000000-0006-0000-0400-000011000000}">
      <text>
        <r>
          <rPr>
            <sz val="11"/>
            <rFont val="Calibri"/>
          </rPr>
          <t>The ESXi host must remove keys from the SSH authorized_keys file.</t>
        </r>
      </text>
    </comment>
    <comment ref="L38" authorId="0" shapeId="0" xr:uid="{00000000-0006-0000-0400-000012000000}">
      <text>
        <r>
          <rPr>
            <sz val="11"/>
            <rFont val="Calibri"/>
          </rPr>
          <t>Active Directory ESX Admin group membership must not be used when adding ESXi hosts to Active Directory.</t>
        </r>
      </text>
    </comment>
    <comment ref="J39" authorId="0" shapeId="0" xr:uid="{00000000-0006-0000-0400-000013000000}">
      <text>
        <r>
          <rPr>
            <sz val="11"/>
            <rFont val="Calibri"/>
          </rPr>
          <t>The ESXi host must disable the Managed Object Browser (MOB).</t>
        </r>
      </text>
    </comment>
    <comment ref="K39" authorId="0" shapeId="0" xr:uid="{00000000-0006-0000-0400-00001A000000}">
      <text>
        <r>
          <rPr>
            <sz val="11"/>
            <rFont val="Calibri"/>
          </rPr>
          <t>The ESXi host must be configured to disable non-essential capabilities by disabling SSH.</t>
        </r>
      </text>
    </comment>
    <comment ref="L39" authorId="0" shapeId="0" xr:uid="{00000000-0006-0000-0400-00001B000000}">
      <text>
        <r>
          <rPr>
            <sz val="11"/>
            <rFont val="Calibri"/>
          </rPr>
          <t>The ESXi host must disable ESXi Shell unless needed for diagnostics or troubleshooting.</t>
        </r>
      </text>
    </comment>
    <comment ref="M39" authorId="0" shapeId="0" xr:uid="{00000000-0006-0000-0400-00001C000000}">
      <text>
        <r>
          <rPr>
            <sz val="11"/>
            <rFont val="Calibri"/>
          </rPr>
          <t>SNMP must be configured properly on the ESXi host.</t>
        </r>
      </text>
    </comment>
    <comment ref="N39" authorId="0" shapeId="0" xr:uid="{00000000-0006-0000-0400-00001D000000}">
      <text>
        <r>
          <rPr>
            <sz val="11"/>
            <rFont val="Calibri"/>
          </rPr>
          <t>The vCenter Server for Windows must disable the managed object browser at all times, when not required for the purpose of troubleshooting or maintenance of managed objects.</t>
        </r>
      </text>
    </comment>
    <comment ref="O39" authorId="0" shapeId="0" xr:uid="{00000000-0006-0000-0400-00001E000000}">
      <text>
        <r>
          <rPr>
            <sz val="11"/>
            <rFont val="Calibri"/>
          </rPr>
          <t>The vCenter Server for Windows must disable SNMPv1.</t>
        </r>
      </text>
    </comment>
    <comment ref="P39" authorId="0" shapeId="0" xr:uid="{00000000-0006-0000-0400-00001F000000}">
      <text>
        <r>
          <rPr>
            <sz val="11"/>
            <rFont val="Calibri"/>
          </rPr>
          <t>Unauthorized floppy devices must be disconnected on the virtual machine.</t>
        </r>
      </text>
    </comment>
    <comment ref="Q39" authorId="0" shapeId="0" xr:uid="{00000000-0006-0000-0400-000014000000}">
      <text>
        <r>
          <rPr>
            <sz val="11"/>
            <rFont val="Calibri"/>
          </rPr>
          <t>Unauthorized CD/DVD devices must be disconnected on the virtual machine.</t>
        </r>
      </text>
    </comment>
    <comment ref="R39" authorId="0" shapeId="0" xr:uid="{00000000-0006-0000-0400-000015000000}">
      <text>
        <r>
          <rPr>
            <sz val="11"/>
            <rFont val="Calibri"/>
          </rPr>
          <t>Unauthorized parallel devices must be disconnected on the virtual machine.</t>
        </r>
      </text>
    </comment>
    <comment ref="S39" authorId="0" shapeId="0" xr:uid="{00000000-0006-0000-0400-000016000000}">
      <text>
        <r>
          <rPr>
            <sz val="11"/>
            <rFont val="Calibri"/>
          </rPr>
          <t>Unauthorized serial devices must be disconnected on the virtual machine.</t>
        </r>
      </text>
    </comment>
    <comment ref="T39" authorId="0" shapeId="0" xr:uid="{00000000-0006-0000-0400-000017000000}">
      <text>
        <r>
          <rPr>
            <sz val="11"/>
            <rFont val="Calibri"/>
          </rPr>
          <t>Unauthorized USB devices must be disconnected on the virtual machine.</t>
        </r>
      </text>
    </comment>
    <comment ref="U39" authorId="0" shapeId="0" xr:uid="{00000000-0006-0000-0400-000018000000}">
      <text>
        <r>
          <rPr>
            <sz val="11"/>
            <rFont val="Calibri"/>
          </rPr>
          <t>Console access through the VNC protocol must be disabled on the virtual machine.</t>
        </r>
      </text>
    </comment>
    <comment ref="V39" authorId="0" shapeId="0" xr:uid="{00000000-0006-0000-0400-000019000000}">
      <text>
        <r>
          <rPr>
            <sz val="11"/>
            <rFont val="Calibri"/>
          </rPr>
          <t>3D features on the virtual machine must be disabled when not required.</t>
        </r>
      </text>
    </comment>
    <comment ref="J41" authorId="0" shapeId="0" xr:uid="{00000000-0006-0000-0400-000020000000}">
      <text>
        <r>
          <rPr>
            <sz val="11"/>
            <rFont val="Calibri"/>
          </rPr>
          <t>The ESXi host must enforce the limit of three consecutive invalid logon attempts by a user.</t>
        </r>
      </text>
    </comment>
    <comment ref="K41" authorId="0" shapeId="0" xr:uid="{00000000-0006-0000-0400-000021000000}">
      <text>
        <r>
          <rPr>
            <sz val="11"/>
            <rFont val="Calibri"/>
          </rPr>
          <t>The ESXi host must enforce the unlock timeout of 15 minutes after a user account is locked out.</t>
        </r>
      </text>
    </comment>
    <comment ref="L41" authorId="0" shapeId="0" xr:uid="{00000000-0006-0000-0400-000022000000}">
      <text>
        <r>
          <rPr>
            <sz val="11"/>
            <rFont val="Calibri"/>
          </rPr>
          <t>The vCenter Server for Windows must limit the maximum number of failed login attempts to three.</t>
        </r>
      </text>
    </comment>
    <comment ref="M41" authorId="0" shapeId="0" xr:uid="{00000000-0006-0000-0400-000023000000}">
      <text>
        <r>
          <rPr>
            <sz val="11"/>
            <rFont val="Calibri"/>
          </rPr>
          <t>The vCenter Server for Windows must set the interval for counting failed login attempts to at least 15 minutes.</t>
        </r>
      </text>
    </comment>
    <comment ref="N41" authorId="0" shapeId="0" xr:uid="{00000000-0006-0000-0400-000024000000}">
      <text>
        <r>
          <rPr>
            <sz val="11"/>
            <rFont val="Calibri"/>
          </rPr>
          <t>The vCenter Server for Windows must require an administrator to unlock an account locked due to excessive login failures.</t>
        </r>
      </text>
    </comment>
    <comment ref="J48" authorId="0" shapeId="0" xr:uid="{00000000-0006-0000-0400-000025000000}">
      <text>
        <r>
          <rPr>
            <sz val="11"/>
            <rFont val="Calibri"/>
          </rPr>
          <t>The ESXi host must not provide root/administrator level access to CIM-based hardware monitoring tools or other third-party applications.</t>
        </r>
      </text>
    </comment>
    <comment ref="K48" authorId="0" shapeId="0" xr:uid="{00000000-0006-0000-0400-000026000000}">
      <text>
        <r>
          <rPr>
            <sz val="11"/>
            <rFont val="Calibri"/>
          </rPr>
          <t>The vCenter Server for Windows must limit the use of the built-in SSO administrative account.</t>
        </r>
      </text>
    </comment>
    <comment ref="L48" authorId="0" shapeId="0" xr:uid="{00000000-0006-0000-0400-000027000000}">
      <text>
        <r>
          <rPr>
            <sz val="11"/>
            <rFont val="Calibri"/>
          </rPr>
          <t>The vCenter Server for Windows must minimize access to the vCenter server.</t>
        </r>
      </text>
    </comment>
    <comment ref="M48" authorId="0" shapeId="0" xr:uid="{00000000-0006-0000-0400-000028000000}">
      <text>
        <r>
          <rPr>
            <sz val="11"/>
            <rFont val="Calibri"/>
          </rPr>
          <t>The vCenter Server for Windows Administrator role must be secured and assigned to specific users other than a Windows Administrator.</t>
        </r>
      </text>
    </comment>
    <comment ref="N48" authorId="0" shapeId="0" xr:uid="{00000000-0006-0000-0400-000029000000}">
      <text>
        <r>
          <rPr>
            <sz val="11"/>
            <rFont val="Calibri"/>
          </rPr>
          <t>The vCenter Server for Windows must use a least-privileges assignment for the Update Manager database user.</t>
        </r>
      </text>
    </comment>
    <comment ref="O48" authorId="0" shapeId="0" xr:uid="{00000000-0006-0000-0400-00002A000000}">
      <text>
        <r>
          <rPr>
            <sz val="11"/>
            <rFont val="Calibri"/>
          </rPr>
          <t>The vCenter Server for Windows must use a least-privileges assignment for the vCenter Server database user.</t>
        </r>
      </text>
    </comment>
    <comment ref="P48" authorId="0" shapeId="0" xr:uid="{00000000-0006-0000-0400-00002B000000}">
      <text>
        <r>
          <rPr>
            <sz val="11"/>
            <rFont val="Calibri"/>
          </rPr>
          <t>The vCenter Server for Windows must restrict access to cryptographic role.</t>
        </r>
      </text>
    </comment>
    <comment ref="Q48" authorId="0" shapeId="0" xr:uid="{00000000-0006-0000-0400-00002C000000}">
      <text>
        <r>
          <rPr>
            <sz val="11"/>
            <rFont val="Calibri"/>
          </rPr>
          <t>The vCenter Server for Windows must restrict access to cryptographic permissions.</t>
        </r>
      </text>
    </comment>
    <comment ref="R48" authorId="0" shapeId="0" xr:uid="{00000000-0006-0000-0400-00002D000000}">
      <text>
        <r>
          <rPr>
            <sz val="11"/>
            <rFont val="Calibri"/>
          </rPr>
          <t>Use of the virtual machine console must be minimized.</t>
        </r>
      </text>
    </comment>
    <comment ref="J49" authorId="0" shapeId="0" xr:uid="{00000000-0006-0000-0400-00002E000000}">
      <text>
        <r>
          <rPr>
            <sz val="11"/>
            <rFont val="Calibri"/>
          </rPr>
          <t>The vCenter Server for Windows services must be ran using a service account instead of a built-in Windows account.</t>
        </r>
      </text>
    </comment>
    <comment ref="K49" authorId="0" shapeId="0" xr:uid="{00000000-0006-0000-0400-00002F000000}">
      <text>
        <r>
          <rPr>
            <sz val="11"/>
            <rFont val="Calibri"/>
          </rPr>
          <t>The vCenter Server for Windows must use unique service accounts when applications connect to vCenter.</t>
        </r>
      </text>
    </comment>
    <comment ref="J50" authorId="0" shapeId="0" xr:uid="{00000000-0006-0000-0400-000030000000}">
      <text>
        <r>
          <rPr>
            <sz val="11"/>
            <rFont val="Calibri"/>
          </rPr>
          <t>The ESXi host must use Active Directory for local user authentication.</t>
        </r>
      </text>
    </comment>
    <comment ref="K50" authorId="0" shapeId="0" xr:uid="{00000000-0006-0000-0400-000031000000}">
      <text>
        <r>
          <rPr>
            <sz val="11"/>
            <rFont val="Calibri"/>
          </rPr>
          <t>The ESXi host must require individuals to be authenticated with an individual authenticator prior to using a group authenticator by using Active Directory for local user authentication.</t>
        </r>
      </text>
    </comment>
    <comment ref="L50" authorId="0" shapeId="0" xr:uid="{00000000-0006-0000-0400-000032000000}">
      <text>
        <r>
          <rPr>
            <sz val="11"/>
            <rFont val="Calibri"/>
          </rPr>
          <t>The vCenter Server for Windows must use Active Directory authentication.</t>
        </r>
      </text>
    </comment>
    <comment ref="J56" authorId="0" shapeId="0" xr:uid="{00000000-0006-0000-0400-000033000000}">
      <text>
        <r>
          <rPr>
            <sz val="11"/>
            <rFont val="Calibri"/>
          </rPr>
          <t>The ESXi host must use multifactor authentication for local access to privileged accounts.</t>
        </r>
      </text>
    </comment>
    <comment ref="K56" authorId="0" shapeId="0" xr:uid="{00000000-0006-0000-0400-000034000000}">
      <text>
        <r>
          <rPr>
            <sz val="11"/>
            <rFont val="Calibri"/>
          </rPr>
          <t>The vCenter Server for Windows must enable certificate based authentication.</t>
        </r>
      </text>
    </comment>
    <comment ref="J59" authorId="0" shapeId="0" xr:uid="{00000000-0006-0000-0400-000035000000}">
      <text>
        <r>
          <rPr>
            <sz val="11"/>
            <rFont val="Calibri"/>
          </rPr>
          <t>The vCenter Server for Windows users must have the correct roles assigned.</t>
        </r>
      </text>
    </comment>
    <comment ref="K59" authorId="0" shapeId="0" xr:uid="{00000000-0006-0000-0400-000036000000}">
      <text>
        <r>
          <rPr>
            <sz val="11"/>
            <rFont val="Calibri"/>
          </rPr>
          <t>The vCenter Server for Windows users must have the correct roles assigned.</t>
        </r>
      </text>
    </comment>
    <comment ref="L59" authorId="0" shapeId="0" xr:uid="{00000000-0006-0000-0400-000037000000}">
      <text>
        <r>
          <rPr>
            <sz val="11"/>
            <rFont val="Calibri"/>
          </rPr>
          <t>The vCenter Server for Windows users must have the correct roles assigned.</t>
        </r>
      </text>
    </comment>
    <comment ref="J63" authorId="0" shapeId="0" xr:uid="{00000000-0006-0000-0400-000038000000}">
      <text>
        <r>
          <rPr>
            <sz val="11"/>
            <rFont val="Calibri"/>
          </rPr>
          <t>The ESXi host must have all security patches and updates installed.</t>
        </r>
      </text>
    </comment>
    <comment ref="J64" authorId="0" shapeId="0" xr:uid="{00000000-0006-0000-0400-000039000000}">
      <text>
        <r>
          <rPr>
            <sz val="11"/>
            <rFont val="Calibri"/>
          </rPr>
          <t>The ESXi host must have all security patches and updates installed.</t>
        </r>
      </text>
    </comment>
    <comment ref="J70" authorId="0" shapeId="0" xr:uid="{00000000-0006-0000-0400-00003A000000}">
      <text>
        <r>
          <rPr>
            <sz val="11"/>
            <rFont val="Calibri"/>
          </rPr>
          <t>Remote logging for ESXi hosts must be configured.</t>
        </r>
      </text>
    </comment>
    <comment ref="K70" authorId="0" shapeId="0" xr:uid="{00000000-0006-0000-0400-00003B000000}">
      <text>
        <r>
          <rPr>
            <sz val="11"/>
            <rFont val="Calibri"/>
          </rPr>
          <t>The ESXi host must produce audit records containing information to establish what type of events occurred.</t>
        </r>
      </text>
    </comment>
    <comment ref="L70" authorId="0" shapeId="0" xr:uid="{00000000-0006-0000-0400-00003C000000}">
      <text>
        <r>
          <rPr>
            <sz val="11"/>
            <rFont val="Calibri"/>
          </rPr>
          <t>The ESXi host must enable a persistent log location for all locally stored logs.</t>
        </r>
      </text>
    </comment>
    <comment ref="M70" authorId="0" shapeId="0" xr:uid="{00000000-0006-0000-0400-00003D000000}">
      <text>
        <r>
          <rPr>
            <sz val="11"/>
            <rFont val="Calibri"/>
          </rPr>
          <t>The vCenter Server for Windows must produce audit records containing information to establish what type of events occurred.</t>
        </r>
      </text>
    </comment>
    <comment ref="J71" authorId="0" shapeId="0" xr:uid="{00000000-0006-0000-0400-00003E000000}">
      <text>
        <r>
          <rPr>
            <sz val="11"/>
            <rFont val="Calibri"/>
          </rPr>
          <t>The ESXi host must enable a persistent log location for all locally stored logs.</t>
        </r>
      </text>
    </comment>
    <comment ref="J72" authorId="0" shapeId="0" xr:uid="{00000000-0006-0000-0400-00003F000000}">
      <text>
        <r>
          <rPr>
            <sz val="11"/>
            <rFont val="Calibri"/>
          </rPr>
          <t>The ESXi host must configure NTP time synchronization.</t>
        </r>
      </text>
    </comment>
    <comment ref="J73" authorId="0" shapeId="0" xr:uid="{00000000-0006-0000-0400-000040000000}">
      <text>
        <r>
          <rPr>
            <sz val="11"/>
            <rFont val="Calibri"/>
          </rPr>
          <t>The ESXi host must produce audit records containing information to establish what type of events occurred.</t>
        </r>
      </text>
    </comment>
    <comment ref="K73" authorId="0" shapeId="0" xr:uid="{00000000-0006-0000-0400-000041000000}">
      <text>
        <r>
          <rPr>
            <sz val="11"/>
            <rFont val="Calibri"/>
          </rPr>
          <t>The vCenter Server for Windows must produce audit records containing information to establish what type of events occurred.</t>
        </r>
      </text>
    </comment>
    <comment ref="J77" authorId="0" shapeId="0" xr:uid="{00000000-0006-0000-0400-000042000000}">
      <text>
        <r>
          <rPr>
            <sz val="11"/>
            <rFont val="Calibri"/>
          </rPr>
          <t>Remote logging for ESXi hosts must be configured.</t>
        </r>
      </text>
    </comment>
    <comment ref="J79" authorId="0" shapeId="0" xr:uid="{00000000-0006-0000-0400-000043000000}">
      <text>
        <r>
          <rPr>
            <sz val="11"/>
            <rFont val="Calibri"/>
          </rPr>
          <t>The vCenter Server for Windows must enable all tasks to be shown to Administrators in the Web Client.</t>
        </r>
      </text>
    </comment>
    <comment ref="K79" authorId="0" shapeId="0" xr:uid="{00000000-0006-0000-0400-000044000000}">
      <text>
        <r>
          <rPr>
            <sz val="11"/>
            <rFont val="Calibri"/>
          </rPr>
          <t>The vCenter Server for Windows must alert administrators on permission creation operations.</t>
        </r>
      </text>
    </comment>
    <comment ref="L79" authorId="0" shapeId="0" xr:uid="{00000000-0006-0000-0400-000045000000}">
      <text>
        <r>
          <rPr>
            <sz val="11"/>
            <rFont val="Calibri"/>
          </rPr>
          <t>The vCenter Server for Windows must alert administrators on permission deletion operations.</t>
        </r>
      </text>
    </comment>
    <comment ref="M79" authorId="0" shapeId="0" xr:uid="{00000000-0006-0000-0400-000046000000}">
      <text>
        <r>
          <rPr>
            <sz val="11"/>
            <rFont val="Calibri"/>
          </rPr>
          <t>The vCenter Server for Windows must alert administrators on permission update operations.</t>
        </r>
      </text>
    </comment>
    <comment ref="J105" authorId="0" shapeId="0" xr:uid="{00000000-0006-0000-0400-000047000000}">
      <text>
        <r>
          <rPr>
            <sz val="11"/>
            <rFont val="Calibri"/>
          </rPr>
          <t>The ESXi host must protect the confidentiality and integrity of transmitted information by isolating vMotion traffic.</t>
        </r>
      </text>
    </comment>
    <comment ref="K105" authorId="0" shapeId="0" xr:uid="{00000000-0006-0000-0400-00004C000000}">
      <text>
        <r>
          <rPr>
            <sz val="11"/>
            <rFont val="Calibri"/>
          </rPr>
          <t>The ESXi host must protect the confidentiality and integrity of transmitted information by protecting IP based management traffic.</t>
        </r>
      </text>
    </comment>
    <comment ref="L105" authorId="0" shapeId="0" xr:uid="{00000000-0006-0000-0400-00004D000000}">
      <text>
        <r>
          <rPr>
            <sz val="11"/>
            <rFont val="Calibri"/>
          </rPr>
          <t>The ESXi host must protect the confidentiality and integrity of transmitted information by utilizing different TCP/IP stacks where possible.</t>
        </r>
      </text>
    </comment>
    <comment ref="M105" authorId="0" shapeId="0" xr:uid="{00000000-0006-0000-0400-00004E000000}">
      <text>
        <r>
          <rPr>
            <sz val="11"/>
            <rFont val="Calibri"/>
          </rPr>
          <t>The virtual switch Forged Transmits policy must be set to reject on the ESXi host.</t>
        </r>
      </text>
    </comment>
    <comment ref="N105" authorId="0" shapeId="0" xr:uid="{00000000-0006-0000-0400-00004F000000}">
      <text>
        <r>
          <rPr>
            <sz val="11"/>
            <rFont val="Calibri"/>
          </rPr>
          <t>The virtual switch MAC Address Change policy must be set to reject on the ESXi host.</t>
        </r>
      </text>
    </comment>
    <comment ref="O105" authorId="0" shapeId="0" xr:uid="{00000000-0006-0000-0400-000050000000}">
      <text>
        <r>
          <rPr>
            <sz val="11"/>
            <rFont val="Calibri"/>
          </rPr>
          <t>The virtual switch Promiscuous Mode policy must be set to reject on the ESXi host.</t>
        </r>
      </text>
    </comment>
    <comment ref="P105" authorId="0" shapeId="0" xr:uid="{00000000-0006-0000-0400-000051000000}">
      <text>
        <r>
          <rPr>
            <sz val="11"/>
            <rFont val="Calibri"/>
          </rPr>
          <t>For the ESXi host all port groups must be configured to a value other than that of the native VLAN.</t>
        </r>
      </text>
    </comment>
    <comment ref="Q105" authorId="0" shapeId="0" xr:uid="{00000000-0006-0000-0400-000052000000}">
      <text>
        <r>
          <rPr>
            <sz val="11"/>
            <rFont val="Calibri"/>
          </rPr>
          <t>For the ESXi host all port groups must not be configured to VLAN 4095 unless Virtual Guest Tagging (VGT) is required.</t>
        </r>
      </text>
    </comment>
    <comment ref="R105" authorId="0" shapeId="0" xr:uid="{00000000-0006-0000-0400-000053000000}">
      <text>
        <r>
          <rPr>
            <sz val="11"/>
            <rFont val="Calibri"/>
          </rPr>
          <t>For the ESXi host all port groups must not be configured to VLAN values reserved by upstream physical switches.</t>
        </r>
      </text>
    </comment>
    <comment ref="S105" authorId="0" shapeId="0" xr:uid="{00000000-0006-0000-0400-000054000000}">
      <text>
        <r>
          <rPr>
            <sz val="11"/>
            <rFont val="Calibri"/>
          </rPr>
          <t>All ESXi host-connected virtual switch VLANs must be fully documented and have only the required VLANs.</t>
        </r>
      </text>
    </comment>
    <comment ref="T105" authorId="0" shapeId="0" xr:uid="{00000000-0006-0000-0400-000055000000}">
      <text>
        <r>
          <rPr>
            <sz val="11"/>
            <rFont val="Calibri"/>
          </rPr>
          <t>The vCenter Server for Windows must set the distributed port group Forged Transmits policy to reject.</t>
        </r>
      </text>
    </comment>
    <comment ref="U105" authorId="0" shapeId="0" xr:uid="{00000000-0006-0000-0400-000056000000}">
      <text>
        <r>
          <rPr>
            <sz val="11"/>
            <rFont val="Calibri"/>
          </rPr>
          <t>The vCenter Server for Windows must set the distributed port group MAC Address Change policy to reject.</t>
        </r>
      </text>
    </comment>
    <comment ref="V105" authorId="0" shapeId="0" xr:uid="{00000000-0006-0000-0400-000057000000}">
      <text>
        <r>
          <rPr>
            <sz val="11"/>
            <rFont val="Calibri"/>
          </rPr>
          <t>The vCenter Server for Windows must set the distributed port group Promiscuous Mode policy to reject.</t>
        </r>
      </text>
    </comment>
    <comment ref="W105" authorId="0" shapeId="0" xr:uid="{00000000-0006-0000-0400-000048000000}">
      <text>
        <r>
          <rPr>
            <sz val="11"/>
            <rFont val="Calibri"/>
          </rPr>
          <t>The vCenter Server for Windows must configure all port groups to a value other than that of the native VLAN.</t>
        </r>
      </text>
    </comment>
    <comment ref="X105" authorId="0" shapeId="0" xr:uid="{00000000-0006-0000-0400-000049000000}">
      <text>
        <r>
          <rPr>
            <sz val="11"/>
            <rFont val="Calibri"/>
          </rPr>
          <t>The vCenter Server for Windows must configure all port groups to VLAN 4095 unless Virtual Guest Tagging (VGT) is required.</t>
        </r>
      </text>
    </comment>
    <comment ref="Y105" authorId="0" shapeId="0" xr:uid="{00000000-0006-0000-0400-00004A000000}">
      <text>
        <r>
          <rPr>
            <sz val="11"/>
            <rFont val="Calibri"/>
          </rPr>
          <t>The vCenter Server for Windows must not configure all port groups to VLAN values reserved by upstream physical switches.</t>
        </r>
      </text>
    </comment>
    <comment ref="Z105" authorId="0" shapeId="0" xr:uid="{00000000-0006-0000-0400-00004B000000}">
      <text>
        <r>
          <rPr>
            <sz val="11"/>
            <rFont val="Calibri"/>
          </rPr>
          <t>The vCenter Server for Windows must protect the confidentiality and integrity of transmitted information by isolating IP-based storage traffic.</t>
        </r>
      </text>
    </comment>
    <comment ref="J106" authorId="0" shapeId="0" xr:uid="{00000000-0006-0000-0400-000058000000}">
      <text>
        <r>
          <rPr>
            <sz val="11"/>
            <rFont val="Calibri"/>
          </rPr>
          <t>The vCenter Server for Windows must restrict the connectivity between Update Manager and public patch repositories by use of a separate Update Manager Download Server.</t>
        </r>
      </text>
    </comment>
    <comment ref="K106" authorId="0" shapeId="0" xr:uid="{00000000-0006-0000-0400-000059000000}">
      <text>
        <r>
          <rPr>
            <sz val="11"/>
            <rFont val="Calibri"/>
          </rPr>
          <t>The vCenter Server for Windows must disable or restrict the connectivity between vSAN Health Check and public Hardware Compatibility List by use of an external proxy server.</t>
        </r>
      </text>
    </comment>
    <comment ref="J113" authorId="0" shapeId="0" xr:uid="{00000000-0006-0000-0400-00005A000000}">
      <text>
        <r>
          <rPr>
            <sz val="11"/>
            <rFont val="Calibri"/>
          </rPr>
          <t>The vCenter Server for Windows must provide an immediate real-time alert to the SA and ISSO, at a minimum, of all audit failure events.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ESXi host must enforce the limit of three consecutive invalid logon attempts by a user.</t>
        </r>
      </text>
    </comment>
    <comment ref="I2" authorId="0" shapeId="0" xr:uid="{00000000-0006-0000-0500-000005000000}">
      <text>
        <r>
          <rPr>
            <sz val="11"/>
            <rFont val="Calibri"/>
          </rPr>
          <t>The ESXi host must enforce the unlock timeout of 15 minutes after a user account is locked out.</t>
        </r>
      </text>
    </comment>
    <comment ref="J2" authorId="0" shapeId="0" xr:uid="{00000000-0006-0000-0500-000002000000}">
      <text>
        <r>
          <rPr>
            <sz val="11"/>
            <rFont val="Calibri"/>
          </rPr>
          <t>The vCenter Server for Windows must limit the maximum number of failed login attempts to three.</t>
        </r>
      </text>
    </comment>
    <comment ref="K2" authorId="0" shapeId="0" xr:uid="{00000000-0006-0000-0500-000003000000}">
      <text>
        <r>
          <rPr>
            <sz val="11"/>
            <rFont val="Calibri"/>
          </rPr>
          <t>The vCenter Server for Windows must set the interval for counting failed login attempts to at least 15 minutes.</t>
        </r>
      </text>
    </comment>
    <comment ref="L2" authorId="0" shapeId="0" xr:uid="{00000000-0006-0000-0500-000004000000}">
      <text>
        <r>
          <rPr>
            <sz val="11"/>
            <rFont val="Calibri"/>
          </rPr>
          <t>The vCenter Server for Windows must require an administrator to unlock an account locked due to excessive login failures.</t>
        </r>
      </text>
    </comment>
    <comment ref="H3" authorId="0" shapeId="0" xr:uid="{00000000-0006-0000-0500-000006000000}">
      <text>
        <r>
          <rPr>
            <sz val="11"/>
            <rFont val="Calibri"/>
          </rPr>
          <t>The ESXi host must use Active Directory for local user authentication.</t>
        </r>
      </text>
    </comment>
    <comment ref="I3" authorId="0" shapeId="0" xr:uid="{00000000-0006-0000-0500-000007000000}">
      <text>
        <r>
          <rPr>
            <sz val="11"/>
            <rFont val="Calibri"/>
          </rPr>
          <t>The ESXi host must require individuals to be authenticated with an individual authenticator prior to using a group authenticator by using Active Directory for local user authentication.</t>
        </r>
      </text>
    </comment>
    <comment ref="J3" authorId="0" shapeId="0" xr:uid="{00000000-0006-0000-0500-000008000000}">
      <text>
        <r>
          <rPr>
            <sz val="11"/>
            <rFont val="Calibri"/>
          </rPr>
          <t>The vCenter Server for Windows must use Active Directory authentication.</t>
        </r>
      </text>
    </comment>
    <comment ref="H6" authorId="0" shapeId="0" xr:uid="{00000000-0006-0000-0500-000009000000}">
      <text>
        <r>
          <rPr>
            <sz val="11"/>
            <rFont val="Calibri"/>
          </rPr>
          <t>The ESXi host must disable Inter-VM transparent page sharing.</t>
        </r>
      </text>
    </comment>
    <comment ref="I6" authorId="0" shapeId="0" xr:uid="{00000000-0006-0000-0500-00000A000000}">
      <text>
        <r>
          <rPr>
            <sz val="11"/>
            <rFont val="Calibri"/>
          </rPr>
          <t>The virtual machine must not be able to obtain host information from the hypervisor.</t>
        </r>
      </text>
    </comment>
    <comment ref="J6" authorId="0" shapeId="0" xr:uid="{00000000-0006-0000-0500-00000B000000}">
      <text>
        <r>
          <rPr>
            <sz val="11"/>
            <rFont val="Calibri"/>
          </rPr>
          <t>Shared salt values must be disabled on the virtual machine.</t>
        </r>
      </text>
    </comment>
    <comment ref="H7" authorId="0" shapeId="0" xr:uid="{00000000-0006-0000-0500-00000C000000}">
      <text>
        <r>
          <rPr>
            <sz val="11"/>
            <rFont val="Calibri"/>
          </rPr>
          <t>Remote logging for ESXi hosts must be configured.</t>
        </r>
      </text>
    </comment>
    <comment ref="I7" authorId="0" shapeId="0" xr:uid="{00000000-0006-0000-0500-000010000000}">
      <text>
        <r>
          <rPr>
            <sz val="11"/>
            <rFont val="Calibri"/>
          </rPr>
          <t>The ESXi host must produce audit records containing information to establish what type of events occurred.</t>
        </r>
      </text>
    </comment>
    <comment ref="J7" authorId="0" shapeId="0" xr:uid="{00000000-0006-0000-0500-000011000000}">
      <text>
        <r>
          <rPr>
            <sz val="11"/>
            <rFont val="Calibri"/>
          </rPr>
          <t>The ESXi host must enable a persistent log location for all locally stored logs.</t>
        </r>
      </text>
    </comment>
    <comment ref="K7" authorId="0" shapeId="0" xr:uid="{00000000-0006-0000-0500-000012000000}">
      <text>
        <r>
          <rPr>
            <sz val="11"/>
            <rFont val="Calibri"/>
          </rPr>
          <t>The vCenter Server for Windows must provide an immediate real-time alert to the SA and ISSO, at a minimum, of all audit failure events.</t>
        </r>
      </text>
    </comment>
    <comment ref="L7" authorId="0" shapeId="0" xr:uid="{00000000-0006-0000-0500-000013000000}">
      <text>
        <r>
          <rPr>
            <sz val="11"/>
            <rFont val="Calibri"/>
          </rPr>
          <t>The vCenter Server for Windows must produce audit records containing information to establish what type of events occurred.</t>
        </r>
      </text>
    </comment>
    <comment ref="M7" authorId="0" shapeId="0" xr:uid="{00000000-0006-0000-0500-00000D000000}">
      <text>
        <r>
          <rPr>
            <sz val="11"/>
            <rFont val="Calibri"/>
          </rPr>
          <t>The vCenter Server for Windows must alert administrators on permission creation operations.</t>
        </r>
      </text>
    </comment>
    <comment ref="N7" authorId="0" shapeId="0" xr:uid="{00000000-0006-0000-0500-00000E000000}">
      <text>
        <r>
          <rPr>
            <sz val="11"/>
            <rFont val="Calibri"/>
          </rPr>
          <t>The vCenter Server for Windows must alert administrators on permission deletion operations.</t>
        </r>
      </text>
    </comment>
    <comment ref="O7" authorId="0" shapeId="0" xr:uid="{00000000-0006-0000-0500-00000F000000}">
      <text>
        <r>
          <rPr>
            <sz val="11"/>
            <rFont val="Calibri"/>
          </rPr>
          <t>The vCenter Server for Windows must alert administrators on permission update operations.</t>
        </r>
      </text>
    </comment>
    <comment ref="H9" authorId="0" shapeId="0" xr:uid="{00000000-0006-0000-0500-000014000000}">
      <text>
        <r>
          <rPr>
            <sz val="11"/>
            <rFont val="Calibri"/>
          </rPr>
          <t>The ESXi host must enable Secure Boot.</t>
        </r>
      </text>
    </comment>
    <comment ref="H10" authorId="0" shapeId="0" xr:uid="{00000000-0006-0000-0500-000015000000}">
      <text>
        <r>
          <rPr>
            <sz val="11"/>
            <rFont val="Calibri"/>
          </rPr>
          <t>The ESXi Image Profile and VIB Acceptance Levels must be verified.</t>
        </r>
      </text>
    </comment>
    <comment ref="I10" authorId="0" shapeId="0" xr:uid="{00000000-0006-0000-0500-000016000000}">
      <text>
        <r>
          <rPr>
            <sz val="11"/>
            <rFont val="Calibri"/>
          </rPr>
          <t>vCenter Server for Windows plugins must be verified.</t>
        </r>
      </text>
    </comment>
    <comment ref="H13" authorId="0" shapeId="0" xr:uid="{00000000-0006-0000-0500-000017000000}">
      <text>
        <r>
          <rPr>
            <sz val="11"/>
            <rFont val="Calibri"/>
          </rPr>
          <t>The vCenter Server for Windows must disable the Customer Experience Improvement Program (CEIP).</t>
        </r>
      </text>
    </comment>
    <comment ref="I13" authorId="0" shapeId="0" xr:uid="{00000000-0006-0000-0500-000018000000}">
      <text>
        <r>
          <rPr>
            <sz val="11"/>
            <rFont val="Calibri"/>
          </rPr>
          <t>Copy operations must be disabled on the virtual machine.</t>
        </r>
      </text>
    </comment>
    <comment ref="J13" authorId="0" shapeId="0" xr:uid="{00000000-0006-0000-0500-000019000000}">
      <text>
        <r>
          <rPr>
            <sz val="11"/>
            <rFont val="Calibri"/>
          </rPr>
          <t>Drag and drop operations must be disabled on the virtual machine.</t>
        </r>
      </text>
    </comment>
    <comment ref="K13" authorId="0" shapeId="0" xr:uid="{00000000-0006-0000-0500-00001A000000}">
      <text>
        <r>
          <rPr>
            <sz val="11"/>
            <rFont val="Calibri"/>
          </rPr>
          <t>GUI functionality for copy/paste operations must be disabled on the virtual machine.</t>
        </r>
      </text>
    </comment>
    <comment ref="L13" authorId="0" shapeId="0" xr:uid="{00000000-0006-0000-0500-00001B000000}">
      <text>
        <r>
          <rPr>
            <sz val="11"/>
            <rFont val="Calibri"/>
          </rPr>
          <t>Paste operations must be disabled on the virtual machine.</t>
        </r>
      </text>
    </comment>
    <comment ref="M13" authorId="0" shapeId="0" xr:uid="{00000000-0006-0000-0500-00001C000000}">
      <text>
        <r>
          <rPr>
            <sz val="11"/>
            <rFont val="Calibri"/>
          </rPr>
          <t>HGFS file transfers must be disabled on the virtual machine.</t>
        </r>
      </text>
    </comment>
    <comment ref="H14" authorId="0" shapeId="0" xr:uid="{00000000-0006-0000-0500-00001D000000}">
      <text>
        <r>
          <rPr>
            <sz val="11"/>
            <rFont val="Calibri"/>
          </rPr>
          <t>The ESXi host must disable the Managed Object Browser (MOB).</t>
        </r>
      </text>
    </comment>
    <comment ref="I14" authorId="0" shapeId="0" xr:uid="{00000000-0006-0000-0500-000030000000}">
      <text>
        <r>
          <rPr>
            <sz val="11"/>
            <rFont val="Calibri"/>
          </rPr>
          <t>The ESXi host must be configured to disable non-essential capabilities by disabling SSH.</t>
        </r>
      </text>
    </comment>
    <comment ref="J14" authorId="0" shapeId="0" xr:uid="{00000000-0006-0000-0500-000031000000}">
      <text>
        <r>
          <rPr>
            <sz val="11"/>
            <rFont val="Calibri"/>
          </rPr>
          <t>The ESXi host must disable ESXi Shell unless needed for diagnostics or troubleshooting.</t>
        </r>
      </text>
    </comment>
    <comment ref="K14" authorId="0" shapeId="0" xr:uid="{00000000-0006-0000-0500-000032000000}">
      <text>
        <r>
          <rPr>
            <sz val="11"/>
            <rFont val="Calibri"/>
          </rPr>
          <t>The ESXi host must prevent unintended use of the dvFilter network APIs.</t>
        </r>
      </text>
    </comment>
    <comment ref="L14" authorId="0" shapeId="0" xr:uid="{00000000-0006-0000-0500-000033000000}">
      <text>
        <r>
          <rPr>
            <sz val="11"/>
            <rFont val="Calibri"/>
          </rPr>
          <t>The vCenter Server for Windows must disable the distributed virtual switch health check.</t>
        </r>
      </text>
    </comment>
    <comment ref="M14" authorId="0" shapeId="0" xr:uid="{00000000-0006-0000-0500-000034000000}">
      <text>
        <r>
          <rPr>
            <sz val="11"/>
            <rFont val="Calibri"/>
          </rPr>
          <t>The vCenter Server for Windows must disable the managed object browser at all times, when not required for the purpose of troubleshooting or maintenance of managed objects.</t>
        </r>
      </text>
    </comment>
    <comment ref="N14" authorId="0" shapeId="0" xr:uid="{00000000-0006-0000-0500-000035000000}">
      <text>
        <r>
          <rPr>
            <sz val="11"/>
            <rFont val="Calibri"/>
          </rPr>
          <t>The vCenter Server for Windows must disable Password and Windows integrated authentication.</t>
        </r>
      </text>
    </comment>
    <comment ref="O14" authorId="0" shapeId="0" xr:uid="{00000000-0006-0000-0500-000036000000}">
      <text>
        <r>
          <rPr>
            <sz val="11"/>
            <rFont val="Calibri"/>
          </rPr>
          <t>The vCenter Server for Windows must disable SNMPv1.</t>
        </r>
      </text>
    </comment>
    <comment ref="P14" authorId="0" shapeId="0" xr:uid="{00000000-0006-0000-0500-00001E000000}">
      <text>
        <r>
          <rPr>
            <sz val="11"/>
            <rFont val="Calibri"/>
          </rPr>
          <t>HGFS file transfers must be disabled on the virtual machine.</t>
        </r>
      </text>
    </comment>
    <comment ref="Q14" authorId="0" shapeId="0" xr:uid="{00000000-0006-0000-0500-00001F000000}">
      <text>
        <r>
          <rPr>
            <sz val="11"/>
            <rFont val="Calibri"/>
          </rPr>
          <t>The unexposed feature keyword isolation.tools.ghi.autologon.disable must be set on the virtual machine.</t>
        </r>
      </text>
    </comment>
    <comment ref="R14" authorId="0" shapeId="0" xr:uid="{00000000-0006-0000-0500-000020000000}">
      <text>
        <r>
          <rPr>
            <sz val="11"/>
            <rFont val="Calibri"/>
          </rPr>
          <t>The unexposed feature keyword isolation.tools.ghi.launchmenu.change must be set on the virtual machine.</t>
        </r>
      </text>
    </comment>
    <comment ref="S14" authorId="0" shapeId="0" xr:uid="{00000000-0006-0000-0500-000021000000}">
      <text>
        <r>
          <rPr>
            <sz val="11"/>
            <rFont val="Calibri"/>
          </rPr>
          <t>The unexposed feature keyword isolation.tools.memSchedFakeSampleStats.disable must be set on the virtual machine.</t>
        </r>
      </text>
    </comment>
    <comment ref="T14" authorId="0" shapeId="0" xr:uid="{00000000-0006-0000-0500-000022000000}">
      <text>
        <r>
          <rPr>
            <sz val="11"/>
            <rFont val="Calibri"/>
          </rPr>
          <t>The unexposed feature keyword isolation.tools.ghi.protocolhandler.info.disable must be set on the virtual machine.</t>
        </r>
      </text>
    </comment>
    <comment ref="U14" authorId="0" shapeId="0" xr:uid="{00000000-0006-0000-0500-000023000000}">
      <text>
        <r>
          <rPr>
            <sz val="11"/>
            <rFont val="Calibri"/>
          </rPr>
          <t>The unexposed feature keyword isolation.ghi.host.shellAction.disable must be set on the virtual machine.</t>
        </r>
      </text>
    </comment>
    <comment ref="V14" authorId="0" shapeId="0" xr:uid="{00000000-0006-0000-0500-000024000000}">
      <text>
        <r>
          <rPr>
            <sz val="11"/>
            <rFont val="Calibri"/>
          </rPr>
          <t>The unexposed feature keyword isolation.tools.ghi.trayicon.disable must be set on the virtual machine.</t>
        </r>
      </text>
    </comment>
    <comment ref="W14" authorId="0" shapeId="0" xr:uid="{00000000-0006-0000-0500-000025000000}">
      <text>
        <r>
          <rPr>
            <sz val="11"/>
            <rFont val="Calibri"/>
          </rPr>
          <t>The unexposed feature keyword isolation.tools.unity.disable must be set on the virtual machine.</t>
        </r>
      </text>
    </comment>
    <comment ref="X14" authorId="0" shapeId="0" xr:uid="{00000000-0006-0000-0500-000026000000}">
      <text>
        <r>
          <rPr>
            <sz val="11"/>
            <rFont val="Calibri"/>
          </rPr>
          <t>The unexposed feature keyword isolation.tools.unityInterlockOperation.disable must be set on the virtual machine.</t>
        </r>
      </text>
    </comment>
    <comment ref="Y14" authorId="0" shapeId="0" xr:uid="{00000000-0006-0000-0500-000027000000}">
      <text>
        <r>
          <rPr>
            <sz val="11"/>
            <rFont val="Calibri"/>
          </rPr>
          <t>The unexposed feature keyword isolation.tools.unity.push.update.disable must be set on the virtual machine.</t>
        </r>
      </text>
    </comment>
    <comment ref="Z14" authorId="0" shapeId="0" xr:uid="{00000000-0006-0000-0500-000028000000}">
      <text>
        <r>
          <rPr>
            <sz val="11"/>
            <rFont val="Calibri"/>
          </rPr>
          <t>The unexposed feature keyword isolation.tools.unity.taskbar.disable must be set on the virtual machine.</t>
        </r>
      </text>
    </comment>
    <comment ref="AA14" authorId="0" shapeId="0" xr:uid="{00000000-0006-0000-0500-000029000000}">
      <text>
        <r>
          <rPr>
            <sz val="11"/>
            <rFont val="Calibri"/>
          </rPr>
          <t>The unexposed feature keyword isolation.tools.unityActive.disable must be set on the virtual machine.</t>
        </r>
      </text>
    </comment>
    <comment ref="AB14" authorId="0" shapeId="0" xr:uid="{00000000-0006-0000-0500-00002A000000}">
      <text>
        <r>
          <rPr>
            <sz val="11"/>
            <rFont val="Calibri"/>
          </rPr>
          <t>The unexposed feature keyword isolation.tools.unity.windowContents.disable must be set on the virtual machine.</t>
        </r>
      </text>
    </comment>
    <comment ref="AC14" authorId="0" shapeId="0" xr:uid="{00000000-0006-0000-0500-00002B000000}">
      <text>
        <r>
          <rPr>
            <sz val="11"/>
            <rFont val="Calibri"/>
          </rPr>
          <t>The unexposed feature keyword isolation.tools.vmxDnDVersionGet.disable must be set on the virtual machine.</t>
        </r>
      </text>
    </comment>
    <comment ref="AD14" authorId="0" shapeId="0" xr:uid="{00000000-0006-0000-0500-00002C000000}">
      <text>
        <r>
          <rPr>
            <sz val="11"/>
            <rFont val="Calibri"/>
          </rPr>
          <t>The unexposed feature keyword isolation.tools.guestDnDVersionSet.disable must be set on the virtual machine.</t>
        </r>
      </text>
    </comment>
    <comment ref="AE14" authorId="0" shapeId="0" xr:uid="{00000000-0006-0000-0500-00002D000000}">
      <text>
        <r>
          <rPr>
            <sz val="11"/>
            <rFont val="Calibri"/>
          </rPr>
          <t>Console access through the VNC protocol must be disabled on the virtual machine.</t>
        </r>
      </text>
    </comment>
    <comment ref="AF14" authorId="0" shapeId="0" xr:uid="{00000000-0006-0000-0500-00002E000000}">
      <text>
        <r>
          <rPr>
            <sz val="11"/>
            <rFont val="Calibri"/>
          </rPr>
          <t>Access to virtual machines through the dvfilter network APIs must be controlled.</t>
        </r>
      </text>
    </comment>
    <comment ref="AG14" authorId="0" shapeId="0" xr:uid="{00000000-0006-0000-0500-00002F000000}">
      <text>
        <r>
          <rPr>
            <sz val="11"/>
            <rFont val="Calibri"/>
          </rPr>
          <t>3D features on the virtual machine must be disabled when not required.</t>
        </r>
      </text>
    </comment>
    <comment ref="H16" authorId="0" shapeId="0" xr:uid="{00000000-0006-0000-0500-000037000000}">
      <text>
        <r>
          <rPr>
            <sz val="11"/>
            <rFont val="Calibri"/>
          </rPr>
          <t>The ESXi host SSH daemon must use DoD-approved encryption to protect the confidentiality of remote access sessions.</t>
        </r>
      </text>
    </comment>
    <comment ref="I16" authorId="0" shapeId="0" xr:uid="{00000000-0006-0000-0500-000038000000}">
      <text>
        <r>
          <rPr>
            <sz val="11"/>
            <rFont val="Calibri"/>
          </rPr>
          <t>The ESXi host SSH daemon must be configured to only use Message Authentication Codes (MACs) employing FIPS 140-2 approved cryptographic hash algorithms.</t>
        </r>
      </text>
    </comment>
    <comment ref="J16" authorId="0" shapeId="0" xr:uid="{00000000-0006-0000-0500-000039000000}">
      <text>
        <r>
          <rPr>
            <sz val="11"/>
            <rFont val="Calibri"/>
          </rPr>
          <t>The ESXi host must use DoD-approved certificates.</t>
        </r>
      </text>
    </comment>
    <comment ref="K16" authorId="0" shapeId="0" xr:uid="{00000000-0006-0000-0500-00003A000000}">
      <text>
        <r>
          <rPr>
            <sz val="11"/>
            <rFont val="Calibri"/>
          </rPr>
          <t>The vCenter Server for Windows must only send NetFlow traffic to authorized collectors.</t>
        </r>
      </text>
    </comment>
    <comment ref="L16" authorId="0" shapeId="0" xr:uid="{00000000-0006-0000-0500-00003B000000}">
      <text>
        <r>
          <rPr>
            <sz val="11"/>
            <rFont val="Calibri"/>
          </rPr>
          <t>The vCenter Server for Windows must enable SSL for Network File Copy (NFC).</t>
        </r>
      </text>
    </comment>
    <comment ref="M16" authorId="0" shapeId="0" xr:uid="{00000000-0006-0000-0500-00003C000000}">
      <text>
        <r>
          <rPr>
            <sz val="11"/>
            <rFont val="Calibri"/>
          </rPr>
          <t>The vCenter Server for Windows must enable TLS 1.2 exclusively.</t>
        </r>
      </text>
    </comment>
    <comment ref="N16" authorId="0" shapeId="0" xr:uid="{00000000-0006-0000-0500-00003D000000}">
      <text>
        <r>
          <rPr>
            <sz val="11"/>
            <rFont val="Calibri"/>
          </rPr>
          <t>The vCenter Server for Windows reverse proxy must use DoD approved certificates.</t>
        </r>
      </text>
    </comment>
    <comment ref="O16" authorId="0" shapeId="0" xr:uid="{00000000-0006-0000-0500-00003E000000}">
      <text>
        <r>
          <rPr>
            <sz val="11"/>
            <rFont val="Calibri"/>
          </rPr>
          <t>The vCenter Server for Windows must have new Key Encryption Keys (KEKs) re-issued at regular intervals for vSAN encrypted datastore(s).</t>
        </r>
      </text>
    </comment>
    <comment ref="P16" authorId="0" shapeId="0" xr:uid="{00000000-0006-0000-0500-00003F000000}">
      <text>
        <r>
          <rPr>
            <sz val="11"/>
            <rFont val="Calibri"/>
          </rPr>
          <t>The vCenter Server for Windows must use LDAPS when adding an SSO identity source.</t>
        </r>
      </text>
    </comment>
    <comment ref="Q16" authorId="0" shapeId="0" xr:uid="{00000000-0006-0000-0500-000040000000}">
      <text>
        <r>
          <rPr>
            <sz val="11"/>
            <rFont val="Calibri"/>
          </rPr>
          <t>Encryption must be enabled for vMotion on the virtual machine.</t>
        </r>
      </text>
    </comment>
    <comment ref="R16" authorId="0" shapeId="0" xr:uid="{00000000-0006-0000-0500-000041000000}">
      <text>
        <r>
          <rPr>
            <sz val="11"/>
            <rFont val="Calibri"/>
          </rPr>
          <t>The ESXi host must protect the confidentiality and integrity of transmitted information.</t>
        </r>
      </text>
    </comment>
    <comment ref="H20" authorId="0" shapeId="0" xr:uid="{00000000-0006-0000-0500-000042000000}">
      <text>
        <r>
          <rPr>
            <sz val="11"/>
            <rFont val="Calibri"/>
          </rPr>
          <t>The ESXi host SSH daemon must be configured to not allow gateway ports.</t>
        </r>
      </text>
    </comment>
    <comment ref="I20" authorId="0" shapeId="0" xr:uid="{00000000-0006-0000-0500-000043000000}">
      <text>
        <r>
          <rPr>
            <sz val="11"/>
            <rFont val="Calibri"/>
          </rPr>
          <t>The ESXi host SSH daemon must not permit tunnels.</t>
        </r>
      </text>
    </comment>
    <comment ref="J20" authorId="0" shapeId="0" xr:uid="{00000000-0006-0000-0500-000044000000}">
      <text>
        <r>
          <rPr>
            <sz val="11"/>
            <rFont val="Calibri"/>
          </rPr>
          <t>The ESXi host must configure the firewall to restrict access to services running on the host.</t>
        </r>
      </text>
    </comment>
    <comment ref="K20" authorId="0" shapeId="0" xr:uid="{00000000-0006-0000-0500-000045000000}">
      <text>
        <r>
          <rPr>
            <sz val="11"/>
            <rFont val="Calibri"/>
          </rPr>
          <t>The ESXi host must configure the firewall to block network traffic by default.</t>
        </r>
      </text>
    </comment>
    <comment ref="L20" authorId="0" shapeId="0" xr:uid="{00000000-0006-0000-0500-000046000000}">
      <text>
        <r>
          <rPr>
            <sz val="11"/>
            <rFont val="Calibri"/>
          </rPr>
          <t>The virtual switch Forged Transmits policy must be set to reject on the ESXi host.</t>
        </r>
      </text>
    </comment>
    <comment ref="M20" authorId="0" shapeId="0" xr:uid="{00000000-0006-0000-0500-000047000000}">
      <text>
        <r>
          <rPr>
            <sz val="11"/>
            <rFont val="Calibri"/>
          </rPr>
          <t>The virtual switch MAC Address Change policy must be set to reject on the ESXi host.</t>
        </r>
      </text>
    </comment>
    <comment ref="N20" authorId="0" shapeId="0" xr:uid="{00000000-0006-0000-0500-000048000000}">
      <text>
        <r>
          <rPr>
            <sz val="11"/>
            <rFont val="Calibri"/>
          </rPr>
          <t>The virtual switch Promiscuous Mode policy must be set to reject on the ESXi host.</t>
        </r>
      </text>
    </comment>
    <comment ref="O20" authorId="0" shapeId="0" xr:uid="{00000000-0006-0000-0500-000049000000}">
      <text>
        <r>
          <rPr>
            <sz val="11"/>
            <rFont val="Calibri"/>
          </rPr>
          <t>The vCenter Server for Windows must manage excess capacity, bandwidth, or other redundancy to limit the effects of information-flooding types of Denial of Service (DoS) attacks by enabling Network I/O Control (NIOC).</t>
        </r>
      </text>
    </comment>
    <comment ref="P20" authorId="0" shapeId="0" xr:uid="{00000000-0006-0000-0500-00004A000000}">
      <text>
        <r>
          <rPr>
            <sz val="11"/>
            <rFont val="Calibri"/>
          </rPr>
          <t>The vCenter Server for Windows must set the distributed port group Forged Transmits policy to reject.</t>
        </r>
      </text>
    </comment>
    <comment ref="Q20" authorId="0" shapeId="0" xr:uid="{00000000-0006-0000-0500-00004B000000}">
      <text>
        <r>
          <rPr>
            <sz val="11"/>
            <rFont val="Calibri"/>
          </rPr>
          <t>The vCenter Server for Windows must set the distributed port group MAC Address Change policy to reject.</t>
        </r>
      </text>
    </comment>
    <comment ref="R20" authorId="0" shapeId="0" xr:uid="{00000000-0006-0000-0500-00004C000000}">
      <text>
        <r>
          <rPr>
            <sz val="11"/>
            <rFont val="Calibri"/>
          </rPr>
          <t>The vCenter Server for Windows must set the distributed port group Promiscuous Mode policy to reject.</t>
        </r>
      </text>
    </comment>
    <comment ref="H21" authorId="0" shapeId="0" xr:uid="{00000000-0006-0000-0500-00004D000000}">
      <text>
        <r>
          <rPr>
            <sz val="11"/>
            <rFont val="Calibri"/>
          </rPr>
          <t>The ESXi host must limit the number of concurrent sessions to ten for all accounts and/or account types by enabling lockdown mode.</t>
        </r>
      </text>
    </comment>
    <comment ref="I21" authorId="0" shapeId="0" xr:uid="{00000000-0006-0000-0500-00004E000000}">
      <text>
        <r>
          <rPr>
            <sz val="11"/>
            <rFont val="Calibri"/>
          </rPr>
          <t>Use of the virtual machine console must be minimized.</t>
        </r>
      </text>
    </comment>
    <comment ref="H22" authorId="0" shapeId="0" xr:uid="{00000000-0006-0000-0500-00004F000000}">
      <text>
        <r>
          <rPr>
            <sz val="11"/>
            <rFont val="Calibri"/>
          </rPr>
          <t>Unauthorized floppy devices must be disconnected on the virtual machine.</t>
        </r>
      </text>
    </comment>
    <comment ref="I22" authorId="0" shapeId="0" xr:uid="{00000000-0006-0000-0500-000050000000}">
      <text>
        <r>
          <rPr>
            <sz val="11"/>
            <rFont val="Calibri"/>
          </rPr>
          <t>Unauthorized CD/DVD devices must be disconnected on the virtual machine.</t>
        </r>
      </text>
    </comment>
    <comment ref="J22" authorId="0" shapeId="0" xr:uid="{00000000-0006-0000-0500-000051000000}">
      <text>
        <r>
          <rPr>
            <sz val="11"/>
            <rFont val="Calibri"/>
          </rPr>
          <t>Unauthorized parallel devices must be disconnected on the virtual machine.</t>
        </r>
      </text>
    </comment>
    <comment ref="K22" authorId="0" shapeId="0" xr:uid="{00000000-0006-0000-0500-000052000000}">
      <text>
        <r>
          <rPr>
            <sz val="11"/>
            <rFont val="Calibri"/>
          </rPr>
          <t>Unauthorized serial devices must be disconnected on the virtual machine.</t>
        </r>
      </text>
    </comment>
    <comment ref="L22" authorId="0" shapeId="0" xr:uid="{00000000-0006-0000-0500-000053000000}">
      <text>
        <r>
          <rPr>
            <sz val="11"/>
            <rFont val="Calibri"/>
          </rPr>
          <t>Unauthorized USB devices must be disconnected on the virtual machine.</t>
        </r>
      </text>
    </comment>
    <comment ref="H24" authorId="0" shapeId="0" xr:uid="{00000000-0006-0000-0500-000054000000}">
      <text>
        <r>
          <rPr>
            <sz val="11"/>
            <rFont val="Calibri"/>
          </rPr>
          <t>The ESXi host must use multifactor authentication for local access to privileged accounts.</t>
        </r>
      </text>
    </comment>
    <comment ref="I24" authorId="0" shapeId="0" xr:uid="{00000000-0006-0000-0500-000055000000}">
      <text>
        <r>
          <rPr>
            <sz val="11"/>
            <rFont val="Calibri"/>
          </rPr>
          <t>The vCenter Server for Windows must enable certificate based authentication.</t>
        </r>
      </text>
    </comment>
    <comment ref="J24" authorId="0" shapeId="0" xr:uid="{00000000-0006-0000-0500-000056000000}">
      <text>
        <r>
          <rPr>
            <sz val="11"/>
            <rFont val="Calibri"/>
          </rPr>
          <t>The vCenter Server for Windows must enable revocation checking for certificate based authentication.</t>
        </r>
      </text>
    </comment>
    <comment ref="H26" authorId="0" shapeId="0" xr:uid="{00000000-0006-0000-0500-000057000000}">
      <text>
        <r>
          <rPr>
            <sz val="11"/>
            <rFont val="Calibri"/>
          </rPr>
          <t>The ESXi host must protect the confidentiality and integrity of transmitted information by isolating vMotion traffic.</t>
        </r>
      </text>
    </comment>
    <comment ref="I26" authorId="0" shapeId="0" xr:uid="{00000000-0006-0000-0500-000058000000}">
      <text>
        <r>
          <rPr>
            <sz val="11"/>
            <rFont val="Calibri"/>
          </rPr>
          <t>The ESXi host must protect the confidentiality and integrity of transmitted information by protecting IP based management traffic.</t>
        </r>
      </text>
    </comment>
    <comment ref="J26" authorId="0" shapeId="0" xr:uid="{00000000-0006-0000-0500-000059000000}">
      <text>
        <r>
          <rPr>
            <sz val="11"/>
            <rFont val="Calibri"/>
          </rPr>
          <t>The ESXi host must protect the confidentiality and integrity of transmitted information by utilizing different TCP/IP stacks where possible.</t>
        </r>
      </text>
    </comment>
    <comment ref="K26" authorId="0" shapeId="0" xr:uid="{00000000-0006-0000-0500-00005A000000}">
      <text>
        <r>
          <rPr>
            <sz val="11"/>
            <rFont val="Calibri"/>
          </rPr>
          <t>For the ESXi host all port groups must be configured to a value other than that of the native VLAN.</t>
        </r>
      </text>
    </comment>
    <comment ref="L26" authorId="0" shapeId="0" xr:uid="{00000000-0006-0000-0500-00005B000000}">
      <text>
        <r>
          <rPr>
            <sz val="11"/>
            <rFont val="Calibri"/>
          </rPr>
          <t>For the ESXi host all port groups must not be configured to VLAN 4095 unless Virtual Guest Tagging (VGT) is required.</t>
        </r>
      </text>
    </comment>
    <comment ref="M26" authorId="0" shapeId="0" xr:uid="{00000000-0006-0000-0500-00005C000000}">
      <text>
        <r>
          <rPr>
            <sz val="11"/>
            <rFont val="Calibri"/>
          </rPr>
          <t>For the ESXi host all port groups must not be configured to VLAN values reserved by upstream physical switches.</t>
        </r>
      </text>
    </comment>
    <comment ref="N26" authorId="0" shapeId="0" xr:uid="{00000000-0006-0000-0500-00005D000000}">
      <text>
        <r>
          <rPr>
            <sz val="11"/>
            <rFont val="Calibri"/>
          </rPr>
          <t>The vCenter Server for Windows must configure all port groups to a value other than that of the native VLAN.</t>
        </r>
      </text>
    </comment>
    <comment ref="O26" authorId="0" shapeId="0" xr:uid="{00000000-0006-0000-0500-00005E000000}">
      <text>
        <r>
          <rPr>
            <sz val="11"/>
            <rFont val="Calibri"/>
          </rPr>
          <t>The vCenter Server for Windows must configure all port groups to VLAN 4095 unless Virtual Guest Tagging (VGT) is required.</t>
        </r>
      </text>
    </comment>
    <comment ref="P26" authorId="0" shapeId="0" xr:uid="{00000000-0006-0000-0500-00005F000000}">
      <text>
        <r>
          <rPr>
            <sz val="11"/>
            <rFont val="Calibri"/>
          </rPr>
          <t>The vCenter Server for Windows must not configure all port groups to VLAN values reserved by upstream physical switches.</t>
        </r>
      </text>
    </comment>
    <comment ref="Q26" authorId="0" shapeId="0" xr:uid="{00000000-0006-0000-0500-000060000000}">
      <text>
        <r>
          <rPr>
            <sz val="11"/>
            <rFont val="Calibri"/>
          </rPr>
          <t>The vCenter Server for Windows must restrict the connectivity between Update Manager and public patch repositories by use of a separate Update Manager Download Server.</t>
        </r>
      </text>
    </comment>
    <comment ref="R26" authorId="0" shapeId="0" xr:uid="{00000000-0006-0000-0500-000061000000}">
      <text>
        <r>
          <rPr>
            <sz val="11"/>
            <rFont val="Calibri"/>
          </rPr>
          <t>The vCenter Server for Windows must protect the confidentiality and integrity of transmitted information by isolating IP-based storage traffic.</t>
        </r>
      </text>
    </comment>
    <comment ref="S26" authorId="0" shapeId="0" xr:uid="{00000000-0006-0000-0500-000062000000}">
      <text>
        <r>
          <rPr>
            <sz val="11"/>
            <rFont val="Calibri"/>
          </rPr>
          <t>The vCenter Server for Windows must disable or restrict the connectivity between vSAN Health Check and public Hardware Compatibility List by use of an external proxy server.</t>
        </r>
      </text>
    </comment>
    <comment ref="H27" authorId="0" shapeId="0" xr:uid="{00000000-0006-0000-0500-000063000000}">
      <text>
        <r>
          <rPr>
            <sz val="11"/>
            <rFont val="Calibri"/>
          </rPr>
          <t>The ESXi host SSH daemon must be configured to use only the SSHv2 protocol.</t>
        </r>
      </text>
    </comment>
    <comment ref="I27" authorId="0" shapeId="0" xr:uid="{00000000-0006-0000-0500-000064000000}">
      <text>
        <r>
          <rPr>
            <sz val="11"/>
            <rFont val="Calibri"/>
          </rPr>
          <t>The ESXi host SSH daemon must ignore .rhosts files.</t>
        </r>
      </text>
    </comment>
    <comment ref="J27" authorId="0" shapeId="0" xr:uid="{00000000-0006-0000-0500-000065000000}">
      <text>
        <r>
          <rPr>
            <sz val="11"/>
            <rFont val="Calibri"/>
          </rPr>
          <t>The ESXi host SSH daemon must not allow host-based authentication.</t>
        </r>
      </text>
    </comment>
    <comment ref="K27" authorId="0" shapeId="0" xr:uid="{00000000-0006-0000-0500-000066000000}">
      <text>
        <r>
          <rPr>
            <sz val="11"/>
            <rFont val="Calibri"/>
          </rPr>
          <t>The ESXi host SSH daemon must not permit user environment settings.</t>
        </r>
      </text>
    </comment>
    <comment ref="L27" authorId="0" shapeId="0" xr:uid="{00000000-0006-0000-0500-000067000000}">
      <text>
        <r>
          <rPr>
            <sz val="11"/>
            <rFont val="Calibri"/>
          </rPr>
          <t>The ESXi host SSH daemon must not permit GSSAPI authentication.</t>
        </r>
      </text>
    </comment>
    <comment ref="M27" authorId="0" shapeId="0" xr:uid="{00000000-0006-0000-0500-000068000000}">
      <text>
        <r>
          <rPr>
            <sz val="11"/>
            <rFont val="Calibri"/>
          </rPr>
          <t>The ESXi host SSH daemon must not permit Kerberos authentication.</t>
        </r>
      </text>
    </comment>
    <comment ref="N27" authorId="0" shapeId="0" xr:uid="{00000000-0006-0000-0500-000069000000}">
      <text>
        <r>
          <rPr>
            <sz val="11"/>
            <rFont val="Calibri"/>
          </rPr>
          <t>The ESXi host SSH daemon must not allow compression or must only allow compression after successful authentication.</t>
        </r>
      </text>
    </comment>
    <comment ref="O27" authorId="0" shapeId="0" xr:uid="{00000000-0006-0000-0500-00006A000000}">
      <text>
        <r>
          <rPr>
            <sz val="11"/>
            <rFont val="Calibri"/>
          </rPr>
          <t>The ESXi host SSH daemon must be configured to not allow gateway ports.</t>
        </r>
      </text>
    </comment>
    <comment ref="P27" authorId="0" shapeId="0" xr:uid="{00000000-0006-0000-0500-00006B000000}">
      <text>
        <r>
          <rPr>
            <sz val="11"/>
            <rFont val="Calibri"/>
          </rPr>
          <t>The ESXi host SSH daemon must be configured to not allow X11 forwarding.</t>
        </r>
      </text>
    </comment>
    <comment ref="Q27" authorId="0" shapeId="0" xr:uid="{00000000-0006-0000-0500-00006C000000}">
      <text>
        <r>
          <rPr>
            <sz val="11"/>
            <rFont val="Calibri"/>
          </rPr>
          <t>The ESXi host SSH daemon must not accept environment variables from the client.</t>
        </r>
      </text>
    </comment>
    <comment ref="R27" authorId="0" shapeId="0" xr:uid="{00000000-0006-0000-0500-00006D000000}">
      <text>
        <r>
          <rPr>
            <sz val="11"/>
            <rFont val="Calibri"/>
          </rPr>
          <t>The ESXi host SSH daemon must not permit tunnels.</t>
        </r>
      </text>
    </comment>
    <comment ref="S27" authorId="0" shapeId="0" xr:uid="{00000000-0006-0000-0500-00006E000000}">
      <text>
        <r>
          <rPr>
            <sz val="11"/>
            <rFont val="Calibri"/>
          </rPr>
          <t>The ESXi host SSH daemon must limit connections to a single session.</t>
        </r>
      </text>
    </comment>
    <comment ref="T27" authorId="0" shapeId="0" xr:uid="{00000000-0006-0000-0500-00006F000000}">
      <text>
        <r>
          <rPr>
            <sz val="11"/>
            <rFont val="Calibri"/>
          </rPr>
          <t>SNMP must be configured properly on the ESXi host.</t>
        </r>
      </text>
    </comment>
    <comment ref="U27" authorId="0" shapeId="0" xr:uid="{00000000-0006-0000-0500-000070000000}">
      <text>
        <r>
          <rPr>
            <sz val="11"/>
            <rFont val="Calibri"/>
          </rPr>
          <t>The ESXi host must enable BPDU filter on the host to prevent being locked out of physical switch ports with Portfast and BPDU Guard enabled.</t>
        </r>
      </text>
    </comment>
    <comment ref="V27" authorId="0" shapeId="0" xr:uid="{00000000-0006-0000-0500-000071000000}">
      <text>
        <r>
          <rPr>
            <sz val="11"/>
            <rFont val="Calibri"/>
          </rPr>
          <t>For physical switch ports connected to the ESXi host, the non-negotiate option must be configured for trunk links between external physical switches and virtual switches in VST mode.</t>
        </r>
      </text>
    </comment>
    <comment ref="W27" authorId="0" shapeId="0" xr:uid="{00000000-0006-0000-0500-000072000000}">
      <text>
        <r>
          <rPr>
            <sz val="11"/>
            <rFont val="Calibri"/>
          </rPr>
          <t>All ESXi host-connected physical switch ports must be configured with spanning tree disabled.</t>
        </r>
      </text>
    </comment>
    <comment ref="X27" authorId="0" shapeId="0" xr:uid="{00000000-0006-0000-0500-000073000000}">
      <text>
        <r>
          <rPr>
            <sz val="11"/>
            <rFont val="Calibri"/>
          </rPr>
          <t>The vCenter Server for Windows must not override port group settings at the port level on distributed switches.</t>
        </r>
      </text>
    </comment>
    <comment ref="Y27" authorId="0" shapeId="0" xr:uid="{00000000-0006-0000-0500-000074000000}">
      <text>
        <r>
          <rPr>
            <sz val="11"/>
            <rFont val="Calibri"/>
          </rPr>
          <t>Virtual disk shrinking must be disabled on the virtual machine.</t>
        </r>
      </text>
    </comment>
    <comment ref="Z27" authorId="0" shapeId="0" xr:uid="{00000000-0006-0000-0500-000075000000}">
      <text>
        <r>
          <rPr>
            <sz val="11"/>
            <rFont val="Calibri"/>
          </rPr>
          <t>Virtual disk erasure must be disabled on the virtual machine.</t>
        </r>
      </text>
    </comment>
    <comment ref="AA27" authorId="0" shapeId="0" xr:uid="{00000000-0006-0000-0500-000076000000}">
      <text>
        <r>
          <rPr>
            <sz val="11"/>
            <rFont val="Calibri"/>
          </rPr>
          <t>Informational messages from the virtual machine to the VMX file must be limited on the virtual machine.</t>
        </r>
      </text>
    </comment>
    <comment ref="AB27" authorId="0" shapeId="0" xr:uid="{00000000-0006-0000-0500-000077000000}">
      <text>
        <r>
          <rPr>
            <sz val="11"/>
            <rFont val="Calibri"/>
          </rPr>
          <t>System administrators must use templates to deploy virtual machines whenever possible.</t>
        </r>
      </text>
    </comment>
    <comment ref="H29" authorId="0" shapeId="0" xr:uid="{00000000-0006-0000-0500-000078000000}">
      <text>
        <r>
          <rPr>
            <sz val="11"/>
            <rFont val="Calibri"/>
          </rPr>
          <t>The ESXi host SSH daemon must not allow authentication using an empty password.</t>
        </r>
      </text>
    </comment>
    <comment ref="I29" authorId="0" shapeId="0" xr:uid="{00000000-0006-0000-0500-000079000000}">
      <text>
        <r>
          <rPr>
            <sz val="11"/>
            <rFont val="Calibri"/>
          </rPr>
          <t>The ESXi host  must enforce password complexity by requiring that at least one upper-case character be used.</t>
        </r>
      </text>
    </comment>
    <comment ref="J29" authorId="0" shapeId="0" xr:uid="{00000000-0006-0000-0500-00007A000000}">
      <text>
        <r>
          <rPr>
            <sz val="11"/>
            <rFont val="Calibri"/>
          </rPr>
          <t>The ESXi host must prohibit the reuse of passwords within five iterations.</t>
        </r>
      </text>
    </comment>
    <comment ref="K29" authorId="0" shapeId="0" xr:uid="{00000000-0006-0000-0500-00007B000000}">
      <text>
        <r>
          <rPr>
            <sz val="11"/>
            <rFont val="Calibri"/>
          </rPr>
          <t>The password hashes stored on the ESXi host must have been generated using a FIPS 140-2 approved cryptographic hashing algorithm.</t>
        </r>
      </text>
    </comment>
    <comment ref="L29" authorId="0" shapeId="0" xr:uid="{00000000-0006-0000-0500-00007C000000}">
      <text>
        <r>
          <rPr>
            <sz val="11"/>
            <rFont val="Calibri"/>
          </rPr>
          <t>The vCenter Server for Windows must prohibit password reuse for a minimum of five generations.</t>
        </r>
      </text>
    </comment>
    <comment ref="M29" authorId="0" shapeId="0" xr:uid="{00000000-0006-0000-0500-00007D000000}">
      <text>
        <r>
          <rPr>
            <sz val="11"/>
            <rFont val="Calibri"/>
          </rPr>
          <t>The vCenter Server for Windows must enforce a 60-day maximum password lifetime restriction.</t>
        </r>
      </text>
    </comment>
    <comment ref="N29" authorId="0" shapeId="0" xr:uid="{00000000-0006-0000-0500-00007E000000}">
      <text>
        <r>
          <rPr>
            <sz val="11"/>
            <rFont val="Calibri"/>
          </rPr>
          <t>The vCenter Server for Windows must configure the vpxuser auto-password to be changed every 30 days.</t>
        </r>
      </text>
    </comment>
    <comment ref="O29" authorId="0" shapeId="0" xr:uid="{00000000-0006-0000-0500-00007F000000}">
      <text>
        <r>
          <rPr>
            <sz val="11"/>
            <rFont val="Calibri"/>
          </rPr>
          <t>The vCenter Server for Windows must configure the vpxuser password meets length policy.</t>
        </r>
      </text>
    </comment>
    <comment ref="P29" authorId="0" shapeId="0" xr:uid="{00000000-0006-0000-0500-000080000000}">
      <text>
        <r>
          <rPr>
            <sz val="11"/>
            <rFont val="Calibri"/>
          </rPr>
          <t>The vCenter Server for Windows passwords must be at least 15 characters in length.</t>
        </r>
      </text>
    </comment>
    <comment ref="Q29" authorId="0" shapeId="0" xr:uid="{00000000-0006-0000-0500-000081000000}">
      <text>
        <r>
          <rPr>
            <sz val="11"/>
            <rFont val="Calibri"/>
          </rPr>
          <t>The vCenter Server for Windows passwords must contain at least one uppercase character.</t>
        </r>
      </text>
    </comment>
    <comment ref="R29" authorId="0" shapeId="0" xr:uid="{00000000-0006-0000-0500-000082000000}">
      <text>
        <r>
          <rPr>
            <sz val="11"/>
            <rFont val="Calibri"/>
          </rPr>
          <t>The vCenter Server for Windows passwords must contain at least one lowercase character.</t>
        </r>
      </text>
    </comment>
    <comment ref="S29" authorId="0" shapeId="0" xr:uid="{00000000-0006-0000-0500-000083000000}">
      <text>
        <r>
          <rPr>
            <sz val="11"/>
            <rFont val="Calibri"/>
          </rPr>
          <t>The vCenter Server for Windows passwords must contain at least one numeric character.</t>
        </r>
      </text>
    </comment>
    <comment ref="T29" authorId="0" shapeId="0" xr:uid="{00000000-0006-0000-0500-000084000000}">
      <text>
        <r>
          <rPr>
            <sz val="11"/>
            <rFont val="Calibri"/>
          </rPr>
          <t>The vCenter Server for Windows passwords must contain at least one special character.</t>
        </r>
      </text>
    </comment>
    <comment ref="H31" authorId="0" shapeId="0" xr:uid="{00000000-0006-0000-0500-000085000000}">
      <text>
        <r>
          <rPr>
            <sz val="11"/>
            <rFont val="Calibri"/>
          </rPr>
          <t>The ESXi host SSH daemon must not permit root logins.</t>
        </r>
      </text>
    </comment>
    <comment ref="I31" authorId="0" shapeId="0" xr:uid="{00000000-0006-0000-0500-000086000000}">
      <text>
        <r>
          <rPr>
            <sz val="11"/>
            <rFont val="Calibri"/>
          </rPr>
          <t>The ESXi host must remove keys from the SSH authorized_keys file.</t>
        </r>
      </text>
    </comment>
    <comment ref="J31" authorId="0" shapeId="0" xr:uid="{00000000-0006-0000-0500-000087000000}">
      <text>
        <r>
          <rPr>
            <sz val="11"/>
            <rFont val="Calibri"/>
          </rPr>
          <t>Active Directory ESX Admin group membership must not be used when adding ESXi hosts to Active Directory.</t>
        </r>
      </text>
    </comment>
    <comment ref="K31" authorId="0" shapeId="0" xr:uid="{00000000-0006-0000-0500-000088000000}">
      <text>
        <r>
          <rPr>
            <sz val="11"/>
            <rFont val="Calibri"/>
          </rPr>
          <t>The ESXi host must not provide root/administrator level access to CIM-based hardware monitoring tools or other third-party applications.</t>
        </r>
      </text>
    </comment>
    <comment ref="L31" authorId="0" shapeId="0" xr:uid="{00000000-0006-0000-0500-000089000000}">
      <text>
        <r>
          <rPr>
            <sz val="11"/>
            <rFont val="Calibri"/>
          </rPr>
          <t>The vCenter Server for Windows users must have the correct roles assigned.</t>
        </r>
      </text>
    </comment>
    <comment ref="M31" authorId="0" shapeId="0" xr:uid="{00000000-0006-0000-0500-00008A000000}">
      <text>
        <r>
          <rPr>
            <sz val="11"/>
            <rFont val="Calibri"/>
          </rPr>
          <t>The vCenter Server for Windows must limit the use of the built-in SSO administrative account.</t>
        </r>
      </text>
    </comment>
    <comment ref="N31" authorId="0" shapeId="0" xr:uid="{00000000-0006-0000-0500-00008B000000}">
      <text>
        <r>
          <rPr>
            <sz val="11"/>
            <rFont val="Calibri"/>
          </rPr>
          <t>The vCenter Server for Windows services must be ran using a service account instead of a built-in Windows account.</t>
        </r>
      </text>
    </comment>
    <comment ref="O31" authorId="0" shapeId="0" xr:uid="{00000000-0006-0000-0500-00008C000000}">
      <text>
        <r>
          <rPr>
            <sz val="11"/>
            <rFont val="Calibri"/>
          </rPr>
          <t>The vCenter Server for Windows must minimize access to the vCenter server.</t>
        </r>
      </text>
    </comment>
    <comment ref="P31" authorId="0" shapeId="0" xr:uid="{00000000-0006-0000-0500-00008D000000}">
      <text>
        <r>
          <rPr>
            <sz val="11"/>
            <rFont val="Calibri"/>
          </rPr>
          <t>The vCenter Server for Windows Administrator role must be secured and assigned to specific users other than a Windows Administrator.</t>
        </r>
      </text>
    </comment>
    <comment ref="Q31" authorId="0" shapeId="0" xr:uid="{00000000-0006-0000-0500-00008E000000}">
      <text>
        <r>
          <rPr>
            <sz val="11"/>
            <rFont val="Calibri"/>
          </rPr>
          <t>The vCenter Server for Windows must use a least-privileges assignment for the Update Manager database user.</t>
        </r>
      </text>
    </comment>
    <comment ref="R31" authorId="0" shapeId="0" xr:uid="{00000000-0006-0000-0500-00008F000000}">
      <text>
        <r>
          <rPr>
            <sz val="11"/>
            <rFont val="Calibri"/>
          </rPr>
          <t>The vCenter Server for Windows must use a least-privileges assignment for the vCenter Server database user.</t>
        </r>
      </text>
    </comment>
    <comment ref="S31" authorId="0" shapeId="0" xr:uid="{00000000-0006-0000-0500-000090000000}">
      <text>
        <r>
          <rPr>
            <sz val="11"/>
            <rFont val="Calibri"/>
          </rPr>
          <t>The vCenter Server for Windows must use unique service accounts when applications connect to vCenter.</t>
        </r>
      </text>
    </comment>
    <comment ref="T31" authorId="0" shapeId="0" xr:uid="{00000000-0006-0000-0500-000091000000}">
      <text>
        <r>
          <rPr>
            <sz val="11"/>
            <rFont val="Calibri"/>
          </rPr>
          <t>The vCenter Server for Windows users must have the correct roles assigned.</t>
        </r>
      </text>
    </comment>
    <comment ref="U31" authorId="0" shapeId="0" xr:uid="{00000000-0006-0000-0500-000092000000}">
      <text>
        <r>
          <rPr>
            <sz val="11"/>
            <rFont val="Calibri"/>
          </rPr>
          <t>The vCenter Server for Windows users must have the correct roles assigned.</t>
        </r>
      </text>
    </comment>
    <comment ref="V31" authorId="0" shapeId="0" xr:uid="{00000000-0006-0000-0500-000093000000}">
      <text>
        <r>
          <rPr>
            <sz val="11"/>
            <rFont val="Calibri"/>
          </rPr>
          <t>The vCenter Server for Windows must restrict access to cryptographic role.</t>
        </r>
      </text>
    </comment>
    <comment ref="W31" authorId="0" shapeId="0" xr:uid="{00000000-0006-0000-0500-000094000000}">
      <text>
        <r>
          <rPr>
            <sz val="11"/>
            <rFont val="Calibri"/>
          </rPr>
          <t>The vCenter Server for Windows must restrict access to cryptographic permissions.</t>
        </r>
      </text>
    </comment>
    <comment ref="X31" authorId="0" shapeId="0" xr:uid="{00000000-0006-0000-0500-000095000000}">
      <text>
        <r>
          <rPr>
            <sz val="11"/>
            <rFont val="Calibri"/>
          </rPr>
          <t>The vCenter Server for Windows must use a limited privilege account when adding an LDAP identity source.</t>
        </r>
      </text>
    </comment>
    <comment ref="Y31" authorId="0" shapeId="0" xr:uid="{00000000-0006-0000-0500-000096000000}">
      <text>
        <r>
          <rPr>
            <sz val="11"/>
            <rFont val="Calibri"/>
          </rPr>
          <t>Unauthorized removal, connection and modification of devices must be prevented on the virtual machine.</t>
        </r>
      </text>
    </comment>
    <comment ref="H34" authorId="0" shapeId="0" xr:uid="{00000000-0006-0000-0500-000097000000}">
      <text>
        <r>
          <rPr>
            <sz val="11"/>
            <rFont val="Calibri"/>
          </rPr>
          <t>The ESXi host SSH daemon must perform strict mode checking of home directory configuration files.</t>
        </r>
      </text>
    </comment>
    <comment ref="H41" authorId="0" shapeId="0" xr:uid="{00000000-0006-0000-0500-000098000000}">
      <text>
        <r>
          <rPr>
            <sz val="11"/>
            <rFont val="Calibri"/>
          </rPr>
          <t>The ESXi host must verify the integrity of the installation media before installing ESXi.</t>
        </r>
      </text>
    </comment>
    <comment ref="I41" authorId="0" shapeId="0" xr:uid="{00000000-0006-0000-0500-000099000000}">
      <text>
        <r>
          <rPr>
            <sz val="11"/>
            <rFont val="Calibri"/>
          </rPr>
          <t>The ESXi host must have all security patches and updates installed.</t>
        </r>
      </text>
    </comment>
    <comment ref="H43" authorId="0" shapeId="0" xr:uid="{00000000-0006-0000-0500-00009A000000}">
      <text>
        <r>
          <rPr>
            <sz val="11"/>
            <rFont val="Calibri"/>
          </rPr>
          <t>The ESXi host must verify the DCUI.Access list.</t>
        </r>
      </text>
    </comment>
    <comment ref="I43" authorId="0" shapeId="0" xr:uid="{00000000-0006-0000-0500-00009B000000}">
      <text>
        <r>
          <rPr>
            <sz val="11"/>
            <rFont val="Calibri"/>
          </rPr>
          <t>The ESXi host must verify the exception users list for lockdown mode.</t>
        </r>
      </text>
    </comment>
    <comment ref="J43" authorId="0" shapeId="0" xr:uid="{00000000-0006-0000-0500-00009C000000}">
      <text>
        <r>
          <rPr>
            <sz val="11"/>
            <rFont val="Calibri"/>
          </rPr>
          <t>The vCenter Server for Windows users must have the correct roles assigned.</t>
        </r>
      </text>
    </comment>
    <comment ref="K43" authorId="0" shapeId="0" xr:uid="{00000000-0006-0000-0500-00009D000000}">
      <text>
        <r>
          <rPr>
            <sz val="11"/>
            <rFont val="Calibri"/>
          </rPr>
          <t>The vCenter Server for Windows must check the privilege re-assignment after restarts.</t>
        </r>
      </text>
    </comment>
    <comment ref="L43" authorId="0" shapeId="0" xr:uid="{00000000-0006-0000-0500-00009E000000}">
      <text>
        <r>
          <rPr>
            <sz val="11"/>
            <rFont val="Calibri"/>
          </rPr>
          <t>The vCenter Server for Windows users must have the correct roles assigned.</t>
        </r>
      </text>
    </comment>
    <comment ref="M43" authorId="0" shapeId="0" xr:uid="{00000000-0006-0000-0500-00009F000000}">
      <text>
        <r>
          <rPr>
            <sz val="11"/>
            <rFont val="Calibri"/>
          </rPr>
          <t>The vCenter Server for Windows users must have the correct roles assigned.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ESXi host must verify the DCUI.Access list.</t>
        </r>
      </text>
    </comment>
    <comment ref="K3" authorId="0" shapeId="0" xr:uid="{00000000-0006-0000-0600-000006000000}">
      <text>
        <r>
          <rPr>
            <sz val="11"/>
            <rFont val="Calibri"/>
          </rPr>
          <t>The ESXi host must verify the exception users list for lockdown mode.</t>
        </r>
      </text>
    </comment>
    <comment ref="L3" authorId="0" shapeId="0" xr:uid="{00000000-0006-0000-0600-000002000000}">
      <text>
        <r>
          <rPr>
            <sz val="11"/>
            <rFont val="Calibri"/>
          </rPr>
          <t>The vCenter Server for Windows users must have the correct roles assigned.</t>
        </r>
      </text>
    </comment>
    <comment ref="M3" authorId="0" shapeId="0" xr:uid="{00000000-0006-0000-0600-000003000000}">
      <text>
        <r>
          <rPr>
            <sz val="11"/>
            <rFont val="Calibri"/>
          </rPr>
          <t>The vCenter Server for Windows must check the privilege re-assignment after restarts.</t>
        </r>
      </text>
    </comment>
    <comment ref="N3" authorId="0" shapeId="0" xr:uid="{00000000-0006-0000-0600-000004000000}">
      <text>
        <r>
          <rPr>
            <sz val="11"/>
            <rFont val="Calibri"/>
          </rPr>
          <t>The vCenter Server for Windows users must have the correct roles assigned.</t>
        </r>
      </text>
    </comment>
    <comment ref="O3" authorId="0" shapeId="0" xr:uid="{00000000-0006-0000-0600-000005000000}">
      <text>
        <r>
          <rPr>
            <sz val="11"/>
            <rFont val="Calibri"/>
          </rPr>
          <t>The vCenter Server for Windows users must have the correct roles assigned.</t>
        </r>
      </text>
    </comment>
    <comment ref="J4" authorId="0" shapeId="0" xr:uid="{00000000-0006-0000-0600-000007000000}">
      <text>
        <r>
          <rPr>
            <sz val="11"/>
            <rFont val="Calibri"/>
          </rPr>
          <t>The ESXi host must limit the number of concurrent sessions to ten for all accounts and/or account types by enabling lockdown mode.</t>
        </r>
      </text>
    </comment>
    <comment ref="J7" authorId="0" shapeId="0" xr:uid="{00000000-0006-0000-0600-000008000000}">
      <text>
        <r>
          <rPr>
            <sz val="11"/>
            <rFont val="Calibri"/>
          </rPr>
          <t>The ESXi host must limit the number of concurrent sessions to ten for all accounts and/or account types by enabling lockdown mode.</t>
        </r>
      </text>
    </comment>
    <comment ref="K7" authorId="0" shapeId="0" xr:uid="{00000000-0006-0000-0600-000010000000}">
      <text>
        <r>
          <rPr>
            <sz val="11"/>
            <rFont val="Calibri"/>
          </rPr>
          <t>The ESXi host must not provide root/administrator level access to CIM-based hardware monitoring tools or other third-party applications.</t>
        </r>
      </text>
    </comment>
    <comment ref="L7" authorId="0" shapeId="0" xr:uid="{00000000-0006-0000-0600-000011000000}">
      <text>
        <r>
          <rPr>
            <sz val="11"/>
            <rFont val="Calibri"/>
          </rPr>
          <t>The vCenter Server for Windows users must have the correct roles assigned.</t>
        </r>
      </text>
    </comment>
    <comment ref="M7" authorId="0" shapeId="0" xr:uid="{00000000-0006-0000-0600-000012000000}">
      <text>
        <r>
          <rPr>
            <sz val="11"/>
            <rFont val="Calibri"/>
          </rPr>
          <t>The vCenter Server for Windows services must be ran using a service account instead of a built-in Windows account.</t>
        </r>
      </text>
    </comment>
    <comment ref="N7" authorId="0" shapeId="0" xr:uid="{00000000-0006-0000-0600-000013000000}">
      <text>
        <r>
          <rPr>
            <sz val="11"/>
            <rFont val="Calibri"/>
          </rPr>
          <t>The vCenter Server for Windows must minimize access to the vCenter server.</t>
        </r>
      </text>
    </comment>
    <comment ref="O7" authorId="0" shapeId="0" xr:uid="{00000000-0006-0000-0600-000014000000}">
      <text>
        <r>
          <rPr>
            <sz val="11"/>
            <rFont val="Calibri"/>
          </rPr>
          <t>The vCenter Server for Windows must use a least-privileges assignment for the Update Manager database user.</t>
        </r>
      </text>
    </comment>
    <comment ref="P7" authorId="0" shapeId="0" xr:uid="{00000000-0006-0000-0600-000009000000}">
      <text>
        <r>
          <rPr>
            <sz val="11"/>
            <rFont val="Calibri"/>
          </rPr>
          <t>The vCenter Server for Windows must use a least-privileges assignment for the vCenter Server database user.</t>
        </r>
      </text>
    </comment>
    <comment ref="Q7" authorId="0" shapeId="0" xr:uid="{00000000-0006-0000-0600-00000A000000}">
      <text>
        <r>
          <rPr>
            <sz val="11"/>
            <rFont val="Calibri"/>
          </rPr>
          <t>The vCenter Server for Windows users must have the correct roles assigned.</t>
        </r>
      </text>
    </comment>
    <comment ref="R7" authorId="0" shapeId="0" xr:uid="{00000000-0006-0000-0600-00000B000000}">
      <text>
        <r>
          <rPr>
            <sz val="11"/>
            <rFont val="Calibri"/>
          </rPr>
          <t>The vCenter Server for Windows users must have the correct roles assigned.</t>
        </r>
      </text>
    </comment>
    <comment ref="S7" authorId="0" shapeId="0" xr:uid="{00000000-0006-0000-0600-00000C000000}">
      <text>
        <r>
          <rPr>
            <sz val="11"/>
            <rFont val="Calibri"/>
          </rPr>
          <t>The vCenter Server for Windows must restrict access to cryptographic role.</t>
        </r>
      </text>
    </comment>
    <comment ref="T7" authorId="0" shapeId="0" xr:uid="{00000000-0006-0000-0600-00000D000000}">
      <text>
        <r>
          <rPr>
            <sz val="11"/>
            <rFont val="Calibri"/>
          </rPr>
          <t>The vCenter Server for Windows must restrict access to cryptographic permissions.</t>
        </r>
      </text>
    </comment>
    <comment ref="U7" authorId="0" shapeId="0" xr:uid="{00000000-0006-0000-0600-00000E000000}">
      <text>
        <r>
          <rPr>
            <sz val="11"/>
            <rFont val="Calibri"/>
          </rPr>
          <t>The vCenter Server for Windows must use a limited privilege account when adding an LDAP identity source.</t>
        </r>
      </text>
    </comment>
    <comment ref="V7" authorId="0" shapeId="0" xr:uid="{00000000-0006-0000-0600-00000F000000}">
      <text>
        <r>
          <rPr>
            <sz val="11"/>
            <rFont val="Calibri"/>
          </rPr>
          <t>Use of the virtual machine console must be minimized.</t>
        </r>
      </text>
    </comment>
    <comment ref="J8" authorId="0" shapeId="0" xr:uid="{00000000-0006-0000-0600-000015000000}">
      <text>
        <r>
          <rPr>
            <sz val="11"/>
            <rFont val="Calibri"/>
          </rPr>
          <t>The ESXi host SSH daemon must not permit root logins.</t>
        </r>
      </text>
    </comment>
    <comment ref="K8" authorId="0" shapeId="0" xr:uid="{00000000-0006-0000-0600-000016000000}">
      <text>
        <r>
          <rPr>
            <sz val="11"/>
            <rFont val="Calibri"/>
          </rPr>
          <t>Active Directory ESX Admin group membership must not be used when adding ESXi hosts to Active Directory.</t>
        </r>
      </text>
    </comment>
    <comment ref="L8" authorId="0" shapeId="0" xr:uid="{00000000-0006-0000-0600-000017000000}">
      <text>
        <r>
          <rPr>
            <sz val="11"/>
            <rFont val="Calibri"/>
          </rPr>
          <t>The vCenter Server for Windows must limit the use of the built-in SSO administrative account.</t>
        </r>
      </text>
    </comment>
    <comment ref="M8" authorId="0" shapeId="0" xr:uid="{00000000-0006-0000-0600-000018000000}">
      <text>
        <r>
          <rPr>
            <sz val="11"/>
            <rFont val="Calibri"/>
          </rPr>
          <t>The vCenter Server for Windows Administrator role must be secured and assigned to specific users other than a Windows Administrator.</t>
        </r>
      </text>
    </comment>
    <comment ref="N8" authorId="0" shapeId="0" xr:uid="{00000000-0006-0000-0600-000019000000}">
      <text>
        <r>
          <rPr>
            <sz val="11"/>
            <rFont val="Calibri"/>
          </rPr>
          <t>The vCenter Server for Windows must restrict access to cryptographic role.</t>
        </r>
      </text>
    </comment>
    <comment ref="O8" authorId="0" shapeId="0" xr:uid="{00000000-0006-0000-0600-00001A000000}">
      <text>
        <r>
          <rPr>
            <sz val="11"/>
            <rFont val="Calibri"/>
          </rPr>
          <t>The vCenter Server for Windows must restrict access to cryptographic permissions.</t>
        </r>
      </text>
    </comment>
    <comment ref="J9" authorId="0" shapeId="0" xr:uid="{00000000-0006-0000-0600-00001B000000}">
      <text>
        <r>
          <rPr>
            <sz val="11"/>
            <rFont val="Calibri"/>
          </rPr>
          <t>Unauthorized removal, connection and modification of devices must be prevented on the virtual machine.</t>
        </r>
      </text>
    </comment>
    <comment ref="J10" authorId="0" shapeId="0" xr:uid="{00000000-0006-0000-0600-00001C000000}">
      <text>
        <r>
          <rPr>
            <sz val="11"/>
            <rFont val="Calibri"/>
          </rPr>
          <t>The ESXi host must enforce the limit of three consecutive invalid logon attempts by a user.</t>
        </r>
      </text>
    </comment>
    <comment ref="K10" authorId="0" shapeId="0" xr:uid="{00000000-0006-0000-0600-00001D000000}">
      <text>
        <r>
          <rPr>
            <sz val="11"/>
            <rFont val="Calibri"/>
          </rPr>
          <t>The ESXi host must enforce the unlock timeout of 15 minutes after a user account is locked out.</t>
        </r>
      </text>
    </comment>
    <comment ref="L10" authorId="0" shapeId="0" xr:uid="{00000000-0006-0000-0600-00001E000000}">
      <text>
        <r>
          <rPr>
            <sz val="11"/>
            <rFont val="Calibri"/>
          </rPr>
          <t>The vCenter Server for Windows must limit the maximum number of failed login attempts to three.</t>
        </r>
      </text>
    </comment>
    <comment ref="M10" authorId="0" shapeId="0" xr:uid="{00000000-0006-0000-0600-00001F000000}">
      <text>
        <r>
          <rPr>
            <sz val="11"/>
            <rFont val="Calibri"/>
          </rPr>
          <t>The vCenter Server for Windows must set the interval for counting failed login attempts to at least 15 minutes.</t>
        </r>
      </text>
    </comment>
    <comment ref="N10" authorId="0" shapeId="0" xr:uid="{00000000-0006-0000-0600-000020000000}">
      <text>
        <r>
          <rPr>
            <sz val="11"/>
            <rFont val="Calibri"/>
          </rPr>
          <t>The vCenter Server for Windows must require an administrator to unlock an account locked due to excessive login failures.</t>
        </r>
      </text>
    </comment>
    <comment ref="J11" authorId="0" shapeId="0" xr:uid="{00000000-0006-0000-0600-000021000000}">
      <text>
        <r>
          <rPr>
            <sz val="11"/>
            <rFont val="Calibri"/>
          </rPr>
          <t>The ESXi host must display the Standard Mandatory DoD Notice and Consent Banner before granting access to the system.</t>
        </r>
      </text>
    </comment>
    <comment ref="K11" authorId="0" shapeId="0" xr:uid="{00000000-0006-0000-0600-000022000000}">
      <text>
        <r>
          <rPr>
            <sz val="11"/>
            <rFont val="Calibri"/>
          </rPr>
          <t>The ESXi host must display the Standard Mandatory DoD Notice and Consent Banner before granting access to the system.</t>
        </r>
      </text>
    </comment>
    <comment ref="L11" authorId="0" shapeId="0" xr:uid="{00000000-0006-0000-0600-000023000000}">
      <text>
        <r>
          <rPr>
            <sz val="11"/>
            <rFont val="Calibri"/>
          </rPr>
          <t>The ESXi host SSH daemon must be configured with the Department of Defense (DoD) login banner.</t>
        </r>
      </text>
    </comment>
    <comment ref="M11" authorId="0" shapeId="0" xr:uid="{00000000-0006-0000-0600-000024000000}">
      <text>
        <r>
          <rPr>
            <sz val="11"/>
            <rFont val="Calibri"/>
          </rPr>
          <t>The vCenter Server for Windows must enable Login banner for vSphere web client.</t>
        </r>
      </text>
    </comment>
    <comment ref="J12" authorId="0" shapeId="0" xr:uid="{00000000-0006-0000-0600-000025000000}">
      <text>
        <r>
          <rPr>
            <sz val="11"/>
            <rFont val="Calibri"/>
          </rPr>
          <t>The ESXi host SSH daemon must set a timeout count on idle sessions.</t>
        </r>
      </text>
    </comment>
    <comment ref="K12" authorId="0" shapeId="0" xr:uid="{00000000-0006-0000-0600-000026000000}">
      <text>
        <r>
          <rPr>
            <sz val="11"/>
            <rFont val="Calibri"/>
          </rPr>
          <t>The ESXi hostSSH daemon must set a timeout interval on idle sessions.</t>
        </r>
      </text>
    </comment>
    <comment ref="L12" authorId="0" shapeId="0" xr:uid="{00000000-0006-0000-0600-000027000000}">
      <text>
        <r>
          <rPr>
            <sz val="11"/>
            <rFont val="Calibri"/>
          </rPr>
          <t>The ESXi host must set a timeout to automatically disable idle sessions after 10 minutes.</t>
        </r>
      </text>
    </comment>
    <comment ref="M12" authorId="0" shapeId="0" xr:uid="{00000000-0006-0000-0600-000028000000}">
      <text>
        <r>
          <rPr>
            <sz val="11"/>
            <rFont val="Calibri"/>
          </rPr>
          <t>The ESXi host must terminate shell services after 10 minutes.</t>
        </r>
      </text>
    </comment>
    <comment ref="N12" authorId="0" shapeId="0" xr:uid="{00000000-0006-0000-0600-000029000000}">
      <text>
        <r>
          <rPr>
            <sz val="11"/>
            <rFont val="Calibri"/>
          </rPr>
          <t>The ESXi host must logout of the console UI after 10 minutes.</t>
        </r>
      </text>
    </comment>
    <comment ref="O12" authorId="0" shapeId="0" xr:uid="{00000000-0006-0000-0600-00002A000000}">
      <text>
        <r>
          <rPr>
            <sz val="11"/>
            <rFont val="Calibri"/>
          </rPr>
          <t>The vCenter Server for Windows must terminate management sessions after 10 minutes of inactivity.</t>
        </r>
      </text>
    </comment>
    <comment ref="P12" authorId="0" shapeId="0" xr:uid="{00000000-0006-0000-0600-00002B000000}">
      <text>
        <r>
          <rPr>
            <sz val="11"/>
            <rFont val="Calibri"/>
          </rPr>
          <t>The virtual machine guest operating system must be locked when the last console connection is closed.</t>
        </r>
      </text>
    </comment>
    <comment ref="J13" authorId="0" shapeId="0" xr:uid="{00000000-0006-0000-0600-00002C000000}">
      <text>
        <r>
          <rPr>
            <sz val="11"/>
            <rFont val="Calibri"/>
          </rPr>
          <t>The ESXi host SSH daemon must set a timeout count on idle sessions.</t>
        </r>
      </text>
    </comment>
    <comment ref="K13" authorId="0" shapeId="0" xr:uid="{00000000-0006-0000-0600-00002D000000}">
      <text>
        <r>
          <rPr>
            <sz val="11"/>
            <rFont val="Calibri"/>
          </rPr>
          <t>The ESXi hostSSH daemon must set a timeout interval on idle sessions.</t>
        </r>
      </text>
    </comment>
    <comment ref="L13" authorId="0" shapeId="0" xr:uid="{00000000-0006-0000-0600-00002E000000}">
      <text>
        <r>
          <rPr>
            <sz val="11"/>
            <rFont val="Calibri"/>
          </rPr>
          <t>The ESXi host must set a timeout to automatically disable idle sessions after 10 minutes.</t>
        </r>
      </text>
    </comment>
    <comment ref="M13" authorId="0" shapeId="0" xr:uid="{00000000-0006-0000-0600-00002F000000}">
      <text>
        <r>
          <rPr>
            <sz val="11"/>
            <rFont val="Calibri"/>
          </rPr>
          <t>The ESXi host must terminate shell services after 10 minutes.</t>
        </r>
      </text>
    </comment>
    <comment ref="N13" authorId="0" shapeId="0" xr:uid="{00000000-0006-0000-0600-000030000000}">
      <text>
        <r>
          <rPr>
            <sz val="11"/>
            <rFont val="Calibri"/>
          </rPr>
          <t>The ESXi host must logout of the console UI after 10 minutes.</t>
        </r>
      </text>
    </comment>
    <comment ref="O13" authorId="0" shapeId="0" xr:uid="{00000000-0006-0000-0600-000031000000}">
      <text>
        <r>
          <rPr>
            <sz val="11"/>
            <rFont val="Calibri"/>
          </rPr>
          <t>The vCenter Server for Windows must not automatically refresh client sessions.</t>
        </r>
      </text>
    </comment>
    <comment ref="P13" authorId="0" shapeId="0" xr:uid="{00000000-0006-0000-0600-000032000000}">
      <text>
        <r>
          <rPr>
            <sz val="11"/>
            <rFont val="Calibri"/>
          </rPr>
          <t>The vCenter Server for Windows must terminate management sessions after 10 minutes of inactivity.</t>
        </r>
      </text>
    </comment>
    <comment ref="Q13" authorId="0" shapeId="0" xr:uid="{00000000-0006-0000-0600-000033000000}">
      <text>
        <r>
          <rPr>
            <sz val="11"/>
            <rFont val="Calibri"/>
          </rPr>
          <t>Console connection sharing must be limited on the virtual machine.</t>
        </r>
      </text>
    </comment>
    <comment ref="J23" authorId="0" shapeId="0" xr:uid="{00000000-0006-0000-0600-000034000000}">
      <text>
        <r>
          <rPr>
            <sz val="11"/>
            <rFont val="Calibri"/>
          </rPr>
          <t>Remote logging for ESXi hosts must be configured.</t>
        </r>
      </text>
    </comment>
    <comment ref="K23" authorId="0" shapeId="0" xr:uid="{00000000-0006-0000-0600-000035000000}">
      <text>
        <r>
          <rPr>
            <sz val="11"/>
            <rFont val="Calibri"/>
          </rPr>
          <t>The ESXi host must produce audit records containing information to establish what type of events occurred.</t>
        </r>
      </text>
    </comment>
    <comment ref="L23" authorId="0" shapeId="0" xr:uid="{00000000-0006-0000-0600-000036000000}">
      <text>
        <r>
          <rPr>
            <sz val="11"/>
            <rFont val="Calibri"/>
          </rPr>
          <t>The ESXi host must enable a persistent log location for all locally stored logs.</t>
        </r>
      </text>
    </comment>
    <comment ref="M23" authorId="0" shapeId="0" xr:uid="{00000000-0006-0000-0600-000037000000}">
      <text>
        <r>
          <rPr>
            <sz val="11"/>
            <rFont val="Calibri"/>
          </rPr>
          <t>The vCenter Server for Windows must produce audit records containing information to establish what type of events occurred.</t>
        </r>
      </text>
    </comment>
    <comment ref="N23" authorId="0" shapeId="0" xr:uid="{00000000-0006-0000-0600-000038000000}">
      <text>
        <r>
          <rPr>
            <sz val="11"/>
            <rFont val="Calibri"/>
          </rPr>
          <t>The vCenter Server for Windows must alert administrators on permission creation operations.</t>
        </r>
      </text>
    </comment>
    <comment ref="O23" authorId="0" shapeId="0" xr:uid="{00000000-0006-0000-0600-000039000000}">
      <text>
        <r>
          <rPr>
            <sz val="11"/>
            <rFont val="Calibri"/>
          </rPr>
          <t>The vCenter Server for Windows must alert administrators on permission deletion operations.</t>
        </r>
      </text>
    </comment>
    <comment ref="P23" authorId="0" shapeId="0" xr:uid="{00000000-0006-0000-0600-00003A000000}">
      <text>
        <r>
          <rPr>
            <sz val="11"/>
            <rFont val="Calibri"/>
          </rPr>
          <t>The vCenter Server for Windows must alert administrators on permission update operations.</t>
        </r>
      </text>
    </comment>
    <comment ref="J24" authorId="0" shapeId="0" xr:uid="{00000000-0006-0000-0600-00003B000000}">
      <text>
        <r>
          <rPr>
            <sz val="11"/>
            <rFont val="Calibri"/>
          </rPr>
          <t>The ESXi host must produce audit records containing information to establish what type of events occurred.</t>
        </r>
      </text>
    </comment>
    <comment ref="K24" authorId="0" shapeId="0" xr:uid="{00000000-0006-0000-0600-00003C000000}">
      <text>
        <r>
          <rPr>
            <sz val="11"/>
            <rFont val="Calibri"/>
          </rPr>
          <t>The vCenter Server for Windows must produce audit records containing information to establish what type of events occurred.</t>
        </r>
      </text>
    </comment>
    <comment ref="J25" authorId="0" shapeId="0" xr:uid="{00000000-0006-0000-0600-00003D000000}">
      <text>
        <r>
          <rPr>
            <sz val="11"/>
            <rFont val="Calibri"/>
          </rPr>
          <t>Remote logging for ESXi hosts must be configured.</t>
        </r>
      </text>
    </comment>
    <comment ref="J26" authorId="0" shapeId="0" xr:uid="{00000000-0006-0000-0600-00003E000000}">
      <text>
        <r>
          <rPr>
            <sz val="11"/>
            <rFont val="Calibri"/>
          </rPr>
          <t>The vCenter Server for Windows must provide an immediate real-time alert to the SA and ISSO, at a minimum, of all audit failure events.</t>
        </r>
      </text>
    </comment>
    <comment ref="J27" authorId="0" shapeId="0" xr:uid="{00000000-0006-0000-0600-00003F000000}">
      <text>
        <r>
          <rPr>
            <sz val="11"/>
            <rFont val="Calibri"/>
          </rPr>
          <t>The vCenter Server for Windows must enable all tasks to be shown to Administrators in the Web Client.</t>
        </r>
      </text>
    </comment>
    <comment ref="J29" authorId="0" shapeId="0" xr:uid="{00000000-0006-0000-0600-000040000000}">
      <text>
        <r>
          <rPr>
            <sz val="11"/>
            <rFont val="Calibri"/>
          </rPr>
          <t>The ESXi host must configure NTP time synchronization.</t>
        </r>
      </text>
    </comment>
    <comment ref="J30" authorId="0" shapeId="0" xr:uid="{00000000-0006-0000-0600-000041000000}">
      <text>
        <r>
          <rPr>
            <sz val="11"/>
            <rFont val="Calibri"/>
          </rPr>
          <t>Independent, non-persistent disks must be not be used on the virtual machine.</t>
        </r>
      </text>
    </comment>
    <comment ref="J32" authorId="0" shapeId="0" xr:uid="{00000000-0006-0000-0600-000042000000}">
      <text>
        <r>
          <rPr>
            <sz val="11"/>
            <rFont val="Calibri"/>
          </rPr>
          <t>The ESXi host must enable Secure Boot.</t>
        </r>
      </text>
    </comment>
    <comment ref="K32" authorId="0" shapeId="0" xr:uid="{00000000-0006-0000-0600-000043000000}">
      <text>
        <r>
          <rPr>
            <sz val="11"/>
            <rFont val="Calibri"/>
          </rPr>
          <t>System administrators must use templates to deploy virtual machines whenever possible.</t>
        </r>
      </text>
    </comment>
    <comment ref="J33" authorId="0" shapeId="0" xr:uid="{00000000-0006-0000-0600-000044000000}">
      <text>
        <r>
          <rPr>
            <sz val="11"/>
            <rFont val="Calibri"/>
          </rPr>
          <t>The ESXi host SSH daemon must be configured to use only the SSHv2 protocol.</t>
        </r>
      </text>
    </comment>
    <comment ref="K33" authorId="0" shapeId="0" xr:uid="{00000000-0006-0000-0600-00004B000000}">
      <text>
        <r>
          <rPr>
            <sz val="11"/>
            <rFont val="Calibri"/>
          </rPr>
          <t>The ESXi host SSH daemon must ignore .rhosts files.</t>
        </r>
      </text>
    </comment>
    <comment ref="L33" authorId="0" shapeId="0" xr:uid="{00000000-0006-0000-0600-00004C000000}">
      <text>
        <r>
          <rPr>
            <sz val="11"/>
            <rFont val="Calibri"/>
          </rPr>
          <t>The ESXi host SSH daemon must not allow host-based authentication.</t>
        </r>
      </text>
    </comment>
    <comment ref="M33" authorId="0" shapeId="0" xr:uid="{00000000-0006-0000-0600-00004D000000}">
      <text>
        <r>
          <rPr>
            <sz val="11"/>
            <rFont val="Calibri"/>
          </rPr>
          <t>The ESXi host SSH daemon must not permit user environment settings.</t>
        </r>
      </text>
    </comment>
    <comment ref="N33" authorId="0" shapeId="0" xr:uid="{00000000-0006-0000-0600-00004E000000}">
      <text>
        <r>
          <rPr>
            <sz val="11"/>
            <rFont val="Calibri"/>
          </rPr>
          <t>The ESXi host SSH daemon must not permit GSSAPI authentication.</t>
        </r>
      </text>
    </comment>
    <comment ref="O33" authorId="0" shapeId="0" xr:uid="{00000000-0006-0000-0600-00004F000000}">
      <text>
        <r>
          <rPr>
            <sz val="11"/>
            <rFont val="Calibri"/>
          </rPr>
          <t>The ESXi host SSH daemon must not permit Kerberos authentication.</t>
        </r>
      </text>
    </comment>
    <comment ref="P33" authorId="0" shapeId="0" xr:uid="{00000000-0006-0000-0600-000050000000}">
      <text>
        <r>
          <rPr>
            <sz val="11"/>
            <rFont val="Calibri"/>
          </rPr>
          <t>The ESXi host SSH daemon must perform strict mode checking of home directory configuration files.</t>
        </r>
      </text>
    </comment>
    <comment ref="Q33" authorId="0" shapeId="0" xr:uid="{00000000-0006-0000-0600-000051000000}">
      <text>
        <r>
          <rPr>
            <sz val="11"/>
            <rFont val="Calibri"/>
          </rPr>
          <t>The ESXi host SSH daemon must not allow compression or must only allow compression after successful authentication.</t>
        </r>
      </text>
    </comment>
    <comment ref="R33" authorId="0" shapeId="0" xr:uid="{00000000-0006-0000-0600-000052000000}">
      <text>
        <r>
          <rPr>
            <sz val="11"/>
            <rFont val="Calibri"/>
          </rPr>
          <t>The ESXi host SSH daemon must be configured to not allow gateway ports.</t>
        </r>
      </text>
    </comment>
    <comment ref="S33" authorId="0" shapeId="0" xr:uid="{00000000-0006-0000-0600-000053000000}">
      <text>
        <r>
          <rPr>
            <sz val="11"/>
            <rFont val="Calibri"/>
          </rPr>
          <t>The ESXi host SSH daemon must be configured to not allow X11 forwarding.</t>
        </r>
      </text>
    </comment>
    <comment ref="T33" authorId="0" shapeId="0" xr:uid="{00000000-0006-0000-0600-000054000000}">
      <text>
        <r>
          <rPr>
            <sz val="11"/>
            <rFont val="Calibri"/>
          </rPr>
          <t>The ESXi host SSH daemon must not accept environment variables from the client.</t>
        </r>
      </text>
    </comment>
    <comment ref="U33" authorId="0" shapeId="0" xr:uid="{00000000-0006-0000-0600-000055000000}">
      <text>
        <r>
          <rPr>
            <sz val="11"/>
            <rFont val="Calibri"/>
          </rPr>
          <t>The ESXi host SSH daemon must not permit tunnels.</t>
        </r>
      </text>
    </comment>
    <comment ref="V33" authorId="0" shapeId="0" xr:uid="{00000000-0006-0000-0600-000056000000}">
      <text>
        <r>
          <rPr>
            <sz val="11"/>
            <rFont val="Calibri"/>
          </rPr>
          <t>The ESXi host SSH daemon must limit connections to a single session.</t>
        </r>
      </text>
    </comment>
    <comment ref="W33" authorId="0" shapeId="0" xr:uid="{00000000-0006-0000-0600-000045000000}">
      <text>
        <r>
          <rPr>
            <sz val="11"/>
            <rFont val="Calibri"/>
          </rPr>
          <t>SNMP must be configured properly on the ESXi host.</t>
        </r>
      </text>
    </comment>
    <comment ref="X33" authorId="0" shapeId="0" xr:uid="{00000000-0006-0000-0600-000046000000}">
      <text>
        <r>
          <rPr>
            <sz val="11"/>
            <rFont val="Calibri"/>
          </rPr>
          <t>The ESXi host must enable BPDU filter on the host to prevent being locked out of physical switch ports with Portfast and BPDU Guard enabled.</t>
        </r>
      </text>
    </comment>
    <comment ref="Y33" authorId="0" shapeId="0" xr:uid="{00000000-0006-0000-0600-000047000000}">
      <text>
        <r>
          <rPr>
            <sz val="11"/>
            <rFont val="Calibri"/>
          </rPr>
          <t>For physical switch ports connected to the ESXi host, the non-negotiate option must be configured for trunk links between external physical switches and virtual switches in VST mode.</t>
        </r>
      </text>
    </comment>
    <comment ref="Z33" authorId="0" shapeId="0" xr:uid="{00000000-0006-0000-0600-000048000000}">
      <text>
        <r>
          <rPr>
            <sz val="11"/>
            <rFont val="Calibri"/>
          </rPr>
          <t>All ESXi host-connected physical switch ports must be configured with spanning tree disabled.</t>
        </r>
      </text>
    </comment>
    <comment ref="AA33" authorId="0" shapeId="0" xr:uid="{00000000-0006-0000-0600-000049000000}">
      <text>
        <r>
          <rPr>
            <sz val="11"/>
            <rFont val="Calibri"/>
          </rPr>
          <t>The vCenter Server for Windows must not override port group settings at the port level on distributed switches.</t>
        </r>
      </text>
    </comment>
    <comment ref="AB33" authorId="0" shapeId="0" xr:uid="{00000000-0006-0000-0600-00004A000000}">
      <text>
        <r>
          <rPr>
            <sz val="11"/>
            <rFont val="Calibri"/>
          </rPr>
          <t>Informational messages from the virtual machine to the VMX file must be limited on the virtual machine.</t>
        </r>
      </text>
    </comment>
    <comment ref="J37" authorId="0" shapeId="0" xr:uid="{00000000-0006-0000-0600-000057000000}">
      <text>
        <r>
          <rPr>
            <sz val="11"/>
            <rFont val="Calibri"/>
          </rPr>
          <t>The ESXi host must disable the Managed Object Browser (MOB).</t>
        </r>
      </text>
    </comment>
    <comment ref="K37" authorId="0" shapeId="0" xr:uid="{00000000-0006-0000-0600-000067000000}">
      <text>
        <r>
          <rPr>
            <sz val="11"/>
            <rFont val="Calibri"/>
          </rPr>
          <t>The ESXi host must be configured to disable non-essential capabilities by disabling SSH.</t>
        </r>
      </text>
    </comment>
    <comment ref="L37" authorId="0" shapeId="0" xr:uid="{00000000-0006-0000-0600-000068000000}">
      <text>
        <r>
          <rPr>
            <sz val="11"/>
            <rFont val="Calibri"/>
          </rPr>
          <t>The ESXi host must disable ESXi Shell unless needed for diagnostics or troubleshooting.</t>
        </r>
      </text>
    </comment>
    <comment ref="M37" authorId="0" shapeId="0" xr:uid="{00000000-0006-0000-0600-000069000000}">
      <text>
        <r>
          <rPr>
            <sz val="11"/>
            <rFont val="Calibri"/>
          </rPr>
          <t>The ESXi host must prevent unintended use of the dvFilter network APIs.</t>
        </r>
      </text>
    </comment>
    <comment ref="N37" authorId="0" shapeId="0" xr:uid="{00000000-0006-0000-0600-00006A000000}">
      <text>
        <r>
          <rPr>
            <sz val="11"/>
            <rFont val="Calibri"/>
          </rPr>
          <t>The vCenter Server for Windows must disable the distributed virtual switch health check.</t>
        </r>
      </text>
    </comment>
    <comment ref="O37" authorId="0" shapeId="0" xr:uid="{00000000-0006-0000-0600-00006B000000}">
      <text>
        <r>
          <rPr>
            <sz val="11"/>
            <rFont val="Calibri"/>
          </rPr>
          <t>The vCenter Server for Windows must disable the managed object browser at all times, when not required for the purpose of troubleshooting or maintenance of managed objects.</t>
        </r>
      </text>
    </comment>
    <comment ref="P37" authorId="0" shapeId="0" xr:uid="{00000000-0006-0000-0600-00006C000000}">
      <text>
        <r>
          <rPr>
            <sz val="11"/>
            <rFont val="Calibri"/>
          </rPr>
          <t>The vCenter Server for Windows must disable Password and Windows integrated authentication.</t>
        </r>
      </text>
    </comment>
    <comment ref="Q37" authorId="0" shapeId="0" xr:uid="{00000000-0006-0000-0600-00006D000000}">
      <text>
        <r>
          <rPr>
            <sz val="11"/>
            <rFont val="Calibri"/>
          </rPr>
          <t>The vCenter Server for Windows must disable the Customer Experience Improvement Program (CEIP).</t>
        </r>
      </text>
    </comment>
    <comment ref="R37" authorId="0" shapeId="0" xr:uid="{00000000-0006-0000-0600-00006E000000}">
      <text>
        <r>
          <rPr>
            <sz val="11"/>
            <rFont val="Calibri"/>
          </rPr>
          <t>The vCenter Server for Windows must disable SNMPv1.</t>
        </r>
      </text>
    </comment>
    <comment ref="S37" authorId="0" shapeId="0" xr:uid="{00000000-0006-0000-0600-00006F000000}">
      <text>
        <r>
          <rPr>
            <sz val="11"/>
            <rFont val="Calibri"/>
          </rPr>
          <t>Virtual disk shrinking must be disabled on the virtual machine.</t>
        </r>
      </text>
    </comment>
    <comment ref="T37" authorId="0" shapeId="0" xr:uid="{00000000-0006-0000-0600-000070000000}">
      <text>
        <r>
          <rPr>
            <sz val="11"/>
            <rFont val="Calibri"/>
          </rPr>
          <t>Virtual disk erasure must be disabled on the virtual machine.</t>
        </r>
      </text>
    </comment>
    <comment ref="U37" authorId="0" shapeId="0" xr:uid="{00000000-0006-0000-0600-000071000000}">
      <text>
        <r>
          <rPr>
            <sz val="11"/>
            <rFont val="Calibri"/>
          </rPr>
          <t>HGFS file transfers must be disabled on the virtual machine.</t>
        </r>
      </text>
    </comment>
    <comment ref="V37" authorId="0" shapeId="0" xr:uid="{00000000-0006-0000-0600-000072000000}">
      <text>
        <r>
          <rPr>
            <sz val="11"/>
            <rFont val="Calibri"/>
          </rPr>
          <t>The unexposed feature keyword isolation.tools.ghi.autologon.disable must be set on the virtual machine.</t>
        </r>
      </text>
    </comment>
    <comment ref="W37" authorId="0" shapeId="0" xr:uid="{00000000-0006-0000-0600-000073000000}">
      <text>
        <r>
          <rPr>
            <sz val="11"/>
            <rFont val="Calibri"/>
          </rPr>
          <t>The unexposed feature keyword isolation.tools.ghi.launchmenu.change must be set on the virtual machine.</t>
        </r>
      </text>
    </comment>
    <comment ref="X37" authorId="0" shapeId="0" xr:uid="{00000000-0006-0000-0600-000074000000}">
      <text>
        <r>
          <rPr>
            <sz val="11"/>
            <rFont val="Calibri"/>
          </rPr>
          <t>The unexposed feature keyword isolation.tools.memSchedFakeSampleStats.disable must be set on the virtual machine.</t>
        </r>
      </text>
    </comment>
    <comment ref="Y37" authorId="0" shapeId="0" xr:uid="{00000000-0006-0000-0600-000075000000}">
      <text>
        <r>
          <rPr>
            <sz val="11"/>
            <rFont val="Calibri"/>
          </rPr>
          <t>The unexposed feature keyword isolation.tools.ghi.protocolhandler.info.disable must be set on the virtual machine.</t>
        </r>
      </text>
    </comment>
    <comment ref="Z37" authorId="0" shapeId="0" xr:uid="{00000000-0006-0000-0600-000076000000}">
      <text>
        <r>
          <rPr>
            <sz val="11"/>
            <rFont val="Calibri"/>
          </rPr>
          <t>The unexposed feature keyword isolation.ghi.host.shellAction.disable must be set on the virtual machine.</t>
        </r>
      </text>
    </comment>
    <comment ref="AA37" authorId="0" shapeId="0" xr:uid="{00000000-0006-0000-0600-000077000000}">
      <text>
        <r>
          <rPr>
            <sz val="11"/>
            <rFont val="Calibri"/>
          </rPr>
          <t>The unexposed feature keyword isolation.tools.ghi.trayicon.disable must be set on the virtual machine.</t>
        </r>
      </text>
    </comment>
    <comment ref="AB37" authorId="0" shapeId="0" xr:uid="{00000000-0006-0000-0600-000078000000}">
      <text>
        <r>
          <rPr>
            <sz val="11"/>
            <rFont val="Calibri"/>
          </rPr>
          <t>The unexposed feature keyword isolation.tools.unity.disable must be set on the virtual machine.</t>
        </r>
      </text>
    </comment>
    <comment ref="AC37" authorId="0" shapeId="0" xr:uid="{00000000-0006-0000-0600-000058000000}">
      <text>
        <r>
          <rPr>
            <sz val="11"/>
            <rFont val="Calibri"/>
          </rPr>
          <t>The unexposed feature keyword isolation.tools.unityInterlockOperation.disable must be set on the virtual machine.</t>
        </r>
      </text>
    </comment>
    <comment ref="AD37" authorId="0" shapeId="0" xr:uid="{00000000-0006-0000-0600-000059000000}">
      <text>
        <r>
          <rPr>
            <sz val="11"/>
            <rFont val="Calibri"/>
          </rPr>
          <t>The unexposed feature keyword isolation.tools.unity.push.update.disable must be set on the virtual machine.</t>
        </r>
      </text>
    </comment>
    <comment ref="AE37" authorId="0" shapeId="0" xr:uid="{00000000-0006-0000-0600-00005A000000}">
      <text>
        <r>
          <rPr>
            <sz val="11"/>
            <rFont val="Calibri"/>
          </rPr>
          <t>The unexposed feature keyword isolation.tools.unity.taskbar.disable must be set on the virtual machine.</t>
        </r>
      </text>
    </comment>
    <comment ref="AF37" authorId="0" shapeId="0" xr:uid="{00000000-0006-0000-0600-00005B000000}">
      <text>
        <r>
          <rPr>
            <sz val="11"/>
            <rFont val="Calibri"/>
          </rPr>
          <t>The unexposed feature keyword isolation.tools.unityActive.disable must be set on the virtual machine.</t>
        </r>
      </text>
    </comment>
    <comment ref="AG37" authorId="0" shapeId="0" xr:uid="{00000000-0006-0000-0600-00005C000000}">
      <text>
        <r>
          <rPr>
            <sz val="11"/>
            <rFont val="Calibri"/>
          </rPr>
          <t>The unexposed feature keyword isolation.tools.unity.windowContents.disable must be set on the virtual machine.</t>
        </r>
      </text>
    </comment>
    <comment ref="AH37" authorId="0" shapeId="0" xr:uid="{00000000-0006-0000-0600-00005D000000}">
      <text>
        <r>
          <rPr>
            <sz val="11"/>
            <rFont val="Calibri"/>
          </rPr>
          <t>The unexposed feature keyword isolation.tools.vmxDnDVersionGet.disable must be set on the virtual machine.</t>
        </r>
      </text>
    </comment>
    <comment ref="AI37" authorId="0" shapeId="0" xr:uid="{00000000-0006-0000-0600-00005E000000}">
      <text>
        <r>
          <rPr>
            <sz val="11"/>
            <rFont val="Calibri"/>
          </rPr>
          <t>The unexposed feature keyword isolation.tools.guestDnDVersionSet.disable must be set on the virtual machine.</t>
        </r>
      </text>
    </comment>
    <comment ref="AJ37" authorId="0" shapeId="0" xr:uid="{00000000-0006-0000-0600-00005F000000}">
      <text>
        <r>
          <rPr>
            <sz val="11"/>
            <rFont val="Calibri"/>
          </rPr>
          <t>Unauthorized floppy devices must be disconnected on the virtual machine.</t>
        </r>
      </text>
    </comment>
    <comment ref="AK37" authorId="0" shapeId="0" xr:uid="{00000000-0006-0000-0600-000060000000}">
      <text>
        <r>
          <rPr>
            <sz val="11"/>
            <rFont val="Calibri"/>
          </rPr>
          <t>Unauthorized CD/DVD devices must be disconnected on the virtual machine.</t>
        </r>
      </text>
    </comment>
    <comment ref="AL37" authorId="0" shapeId="0" xr:uid="{00000000-0006-0000-0600-000061000000}">
      <text>
        <r>
          <rPr>
            <sz val="11"/>
            <rFont val="Calibri"/>
          </rPr>
          <t>Unauthorized parallel devices must be disconnected on the virtual machine.</t>
        </r>
      </text>
    </comment>
    <comment ref="AM37" authorId="0" shapeId="0" xr:uid="{00000000-0006-0000-0600-000062000000}">
      <text>
        <r>
          <rPr>
            <sz val="11"/>
            <rFont val="Calibri"/>
          </rPr>
          <t>Unauthorized serial devices must be disconnected on the virtual machine.</t>
        </r>
      </text>
    </comment>
    <comment ref="AN37" authorId="0" shapeId="0" xr:uid="{00000000-0006-0000-0600-000063000000}">
      <text>
        <r>
          <rPr>
            <sz val="11"/>
            <rFont val="Calibri"/>
          </rPr>
          <t>Unauthorized USB devices must be disconnected on the virtual machine.</t>
        </r>
      </text>
    </comment>
    <comment ref="AO37" authorId="0" shapeId="0" xr:uid="{00000000-0006-0000-0600-000064000000}">
      <text>
        <r>
          <rPr>
            <sz val="11"/>
            <rFont val="Calibri"/>
          </rPr>
          <t>Console access through the VNC protocol must be disabled on the virtual machine.</t>
        </r>
      </text>
    </comment>
    <comment ref="AP37" authorId="0" shapeId="0" xr:uid="{00000000-0006-0000-0600-000065000000}">
      <text>
        <r>
          <rPr>
            <sz val="11"/>
            <rFont val="Calibri"/>
          </rPr>
          <t>Access to virtual machines through the dvfilter network APIs must be controlled.</t>
        </r>
      </text>
    </comment>
    <comment ref="AQ37" authorId="0" shapeId="0" xr:uid="{00000000-0006-0000-0600-000066000000}">
      <text>
        <r>
          <rPr>
            <sz val="11"/>
            <rFont val="Calibri"/>
          </rPr>
          <t>3D features on the virtual machine must be disabled when not required.</t>
        </r>
      </text>
    </comment>
    <comment ref="J38" authorId="0" shapeId="0" xr:uid="{00000000-0006-0000-0600-000079000000}">
      <text>
        <r>
          <rPr>
            <sz val="11"/>
            <rFont val="Calibri"/>
          </rPr>
          <t>vCenter Server for Windows plugins must be verified.</t>
        </r>
      </text>
    </comment>
    <comment ref="J43" authorId="0" shapeId="0" xr:uid="{00000000-0006-0000-0600-00007A000000}">
      <text>
        <r>
          <rPr>
            <sz val="11"/>
            <rFont val="Calibri"/>
          </rPr>
          <t>The ESXi host SSH daemon must not allow authentication using an empty password.</t>
        </r>
      </text>
    </comment>
    <comment ref="K43" authorId="0" shapeId="0" xr:uid="{00000000-0006-0000-0600-00007B000000}">
      <text>
        <r>
          <rPr>
            <sz val="11"/>
            <rFont val="Calibri"/>
          </rPr>
          <t>The ESXi host must remove keys from the SSH authorized_keys file.</t>
        </r>
      </text>
    </comment>
    <comment ref="L43" authorId="0" shapeId="0" xr:uid="{00000000-0006-0000-0600-00007C000000}">
      <text>
        <r>
          <rPr>
            <sz val="11"/>
            <rFont val="Calibri"/>
          </rPr>
          <t>The ESXi host must use Active Directory for local user authentication.</t>
        </r>
      </text>
    </comment>
    <comment ref="M43" authorId="0" shapeId="0" xr:uid="{00000000-0006-0000-0600-00007D000000}">
      <text>
        <r>
          <rPr>
            <sz val="11"/>
            <rFont val="Calibri"/>
          </rPr>
          <t>The ESXi host must enable bidirectional CHAP authentication for iSCSI traffic.</t>
        </r>
      </text>
    </comment>
    <comment ref="N43" authorId="0" shapeId="0" xr:uid="{00000000-0006-0000-0600-00007E000000}">
      <text>
        <r>
          <rPr>
            <sz val="11"/>
            <rFont val="Calibri"/>
          </rPr>
          <t>The ESXi host must require individuals to be authenticated with an individual authenticator prior to using a group authenticator by using Active Directory for local user authentication.</t>
        </r>
      </text>
    </comment>
    <comment ref="O43" authorId="0" shapeId="0" xr:uid="{00000000-0006-0000-0600-00007F000000}">
      <text>
        <r>
          <rPr>
            <sz val="11"/>
            <rFont val="Calibri"/>
          </rPr>
          <t>The vCenter Server for Windows must use Active Directory authentication.</t>
        </r>
      </text>
    </comment>
    <comment ref="P43" authorId="0" shapeId="0" xr:uid="{00000000-0006-0000-0600-000080000000}">
      <text>
        <r>
          <rPr>
            <sz val="11"/>
            <rFont val="Calibri"/>
          </rPr>
          <t>The vCenter Server for Windows must use unique service accounts when applications connect to vCenter.</t>
        </r>
      </text>
    </comment>
    <comment ref="Q43" authorId="0" shapeId="0" xr:uid="{00000000-0006-0000-0600-000081000000}">
      <text>
        <r>
          <rPr>
            <sz val="11"/>
            <rFont val="Calibri"/>
          </rPr>
          <t>The vCenter Server for Windows must have Mutual CHAP configured for vSAN iSCSI targets.</t>
        </r>
      </text>
    </comment>
    <comment ref="J45" authorId="0" shapeId="0" xr:uid="{00000000-0006-0000-0600-000082000000}">
      <text>
        <r>
          <rPr>
            <sz val="11"/>
            <rFont val="Calibri"/>
          </rPr>
          <t>The ESXi host must use multifactor authentication for local access to privileged accounts.</t>
        </r>
      </text>
    </comment>
    <comment ref="K45" authorId="0" shapeId="0" xr:uid="{00000000-0006-0000-0600-000083000000}">
      <text>
        <r>
          <rPr>
            <sz val="11"/>
            <rFont val="Calibri"/>
          </rPr>
          <t>The vCenter Server for Windows must enable certificate based authentication.</t>
        </r>
      </text>
    </comment>
    <comment ref="J46" authorId="0" shapeId="0" xr:uid="{00000000-0006-0000-0600-000084000000}">
      <text>
        <r>
          <rPr>
            <sz val="11"/>
            <rFont val="Calibri"/>
          </rPr>
          <t>The vCenter Server for Windows must enable certificate based authentication.</t>
        </r>
      </text>
    </comment>
    <comment ref="J48" authorId="0" shapeId="0" xr:uid="{00000000-0006-0000-0600-000085000000}">
      <text>
        <r>
          <rPr>
            <sz val="11"/>
            <rFont val="Calibri"/>
          </rPr>
          <t>The ESXi host  must enforce password complexity by requiring that at least one upper-case character be used.</t>
        </r>
      </text>
    </comment>
    <comment ref="K48" authorId="0" shapeId="0" xr:uid="{00000000-0006-0000-0600-000086000000}">
      <text>
        <r>
          <rPr>
            <sz val="11"/>
            <rFont val="Calibri"/>
          </rPr>
          <t>The ESXi host must prohibit the reuse of passwords within five iterations.</t>
        </r>
      </text>
    </comment>
    <comment ref="L48" authorId="0" shapeId="0" xr:uid="{00000000-0006-0000-0600-000087000000}">
      <text>
        <r>
          <rPr>
            <sz val="11"/>
            <rFont val="Calibri"/>
          </rPr>
          <t>The vCenter Server for Windows must prohibit password reuse for a minimum of five generations.</t>
        </r>
      </text>
    </comment>
    <comment ref="M48" authorId="0" shapeId="0" xr:uid="{00000000-0006-0000-0600-000088000000}">
      <text>
        <r>
          <rPr>
            <sz val="11"/>
            <rFont val="Calibri"/>
          </rPr>
          <t>The vCenter Server for Windows must enforce a 60-day maximum password lifetime restriction.</t>
        </r>
      </text>
    </comment>
    <comment ref="N48" authorId="0" shapeId="0" xr:uid="{00000000-0006-0000-0600-000089000000}">
      <text>
        <r>
          <rPr>
            <sz val="11"/>
            <rFont val="Calibri"/>
          </rPr>
          <t>The vCenter Server for Windows must configure the vpxuser auto-password to be changed every 30 days.</t>
        </r>
      </text>
    </comment>
    <comment ref="O48" authorId="0" shapeId="0" xr:uid="{00000000-0006-0000-0600-00008A000000}">
      <text>
        <r>
          <rPr>
            <sz val="11"/>
            <rFont val="Calibri"/>
          </rPr>
          <t>The vCenter Server for Windows must configure the vpxuser password meets length policy.</t>
        </r>
      </text>
    </comment>
    <comment ref="P48" authorId="0" shapeId="0" xr:uid="{00000000-0006-0000-0600-00008B000000}">
      <text>
        <r>
          <rPr>
            <sz val="11"/>
            <rFont val="Calibri"/>
          </rPr>
          <t>The vCenter Server for Windows passwords must be at least 15 characters in length.</t>
        </r>
      </text>
    </comment>
    <comment ref="Q48" authorId="0" shapeId="0" xr:uid="{00000000-0006-0000-0600-00008C000000}">
      <text>
        <r>
          <rPr>
            <sz val="11"/>
            <rFont val="Calibri"/>
          </rPr>
          <t>The vCenter Server for Windows passwords must contain at least one uppercase character.</t>
        </r>
      </text>
    </comment>
    <comment ref="R48" authorId="0" shapeId="0" xr:uid="{00000000-0006-0000-0600-00008D000000}">
      <text>
        <r>
          <rPr>
            <sz val="11"/>
            <rFont val="Calibri"/>
          </rPr>
          <t>The vCenter Server for Windows passwords must contain at least one lowercase character.</t>
        </r>
      </text>
    </comment>
    <comment ref="S48" authorId="0" shapeId="0" xr:uid="{00000000-0006-0000-0600-00008E000000}">
      <text>
        <r>
          <rPr>
            <sz val="11"/>
            <rFont val="Calibri"/>
          </rPr>
          <t>The vCenter Server for Windows passwords must contain at least one numeric character.</t>
        </r>
      </text>
    </comment>
    <comment ref="T48" authorId="0" shapeId="0" xr:uid="{00000000-0006-0000-0600-00008F000000}">
      <text>
        <r>
          <rPr>
            <sz val="11"/>
            <rFont val="Calibri"/>
          </rPr>
          <t>The vCenter Server for Windows passwords must contain at least one special character.</t>
        </r>
      </text>
    </comment>
    <comment ref="J50" authorId="0" shapeId="0" xr:uid="{00000000-0006-0000-0600-000090000000}">
      <text>
        <r>
          <rPr>
            <sz val="11"/>
            <rFont val="Calibri"/>
          </rPr>
          <t>The ESXi host must remove keys from the SSH authorized_keys file.</t>
        </r>
      </text>
    </comment>
    <comment ref="K50" authorId="0" shapeId="0" xr:uid="{00000000-0006-0000-0600-000091000000}">
      <text>
        <r>
          <rPr>
            <sz val="11"/>
            <rFont val="Calibri"/>
          </rPr>
          <t>The ESXi host must use the vSphere Authentication Proxy to protect passwords when adding ESXi hosts to Active Directory.</t>
        </r>
      </text>
    </comment>
    <comment ref="L50" authorId="0" shapeId="0" xr:uid="{00000000-0006-0000-0600-000092000000}">
      <text>
        <r>
          <rPr>
            <sz val="11"/>
            <rFont val="Calibri"/>
          </rPr>
          <t>The vCenter Server for Windows Administrators must clean up log files after failed installations.</t>
        </r>
      </text>
    </comment>
    <comment ref="M50" authorId="0" shapeId="0" xr:uid="{00000000-0006-0000-0600-000093000000}">
      <text>
        <r>
          <rPr>
            <sz val="11"/>
            <rFont val="Calibri"/>
          </rPr>
          <t>The vCenter Server for Windows must enable revocation checking for certificate based authentication.</t>
        </r>
      </text>
    </comment>
    <comment ref="J52" authorId="0" shapeId="0" xr:uid="{00000000-0006-0000-0600-000094000000}">
      <text>
        <r>
          <rPr>
            <sz val="11"/>
            <rFont val="Calibri"/>
          </rPr>
          <t>The ESXi host must enable kernel core dumps.</t>
        </r>
      </text>
    </comment>
    <comment ref="J67" authorId="0" shapeId="0" xr:uid="{00000000-0006-0000-0600-000095000000}">
      <text>
        <r>
          <rPr>
            <sz val="11"/>
            <rFont val="Calibri"/>
          </rPr>
          <t>Unauthorized CD/DVD devices must be disconnected on the virtual machine.</t>
        </r>
      </text>
    </comment>
    <comment ref="K67" authorId="0" shapeId="0" xr:uid="{00000000-0006-0000-0600-000096000000}">
      <text>
        <r>
          <rPr>
            <sz val="11"/>
            <rFont val="Calibri"/>
          </rPr>
          <t>Unauthorized USB devices must be disconnected on the virtual machine.</t>
        </r>
      </text>
    </comment>
    <comment ref="J88" authorId="0" shapeId="0" xr:uid="{00000000-0006-0000-0600-000097000000}">
      <text>
        <r>
          <rPr>
            <sz val="11"/>
            <rFont val="Calibri"/>
          </rPr>
          <t>The ESXi host must protect the confidentiality and integrity of transmitted information by isolating vMotion traffic.</t>
        </r>
      </text>
    </comment>
    <comment ref="K88" authorId="0" shapeId="0" xr:uid="{00000000-0006-0000-0600-000098000000}">
      <text>
        <r>
          <rPr>
            <sz val="11"/>
            <rFont val="Calibri"/>
          </rPr>
          <t>The ESXi host must protect the confidentiality and integrity of transmitted information by protecting IP based management traffic.</t>
        </r>
      </text>
    </comment>
    <comment ref="L88" authorId="0" shapeId="0" xr:uid="{00000000-0006-0000-0600-000099000000}">
      <text>
        <r>
          <rPr>
            <sz val="11"/>
            <rFont val="Calibri"/>
          </rPr>
          <t>The ESXi host must protect the confidentiality and integrity of transmitted information by utilizing different TCP/IP stacks where possible.</t>
        </r>
      </text>
    </comment>
    <comment ref="M88" authorId="0" shapeId="0" xr:uid="{00000000-0006-0000-0600-00009A000000}">
      <text>
        <r>
          <rPr>
            <sz val="11"/>
            <rFont val="Calibri"/>
          </rPr>
          <t>The ESXi host must configure the firewall to restrict access to services running on the host.</t>
        </r>
      </text>
    </comment>
    <comment ref="N88" authorId="0" shapeId="0" xr:uid="{00000000-0006-0000-0600-00009B000000}">
      <text>
        <r>
          <rPr>
            <sz val="11"/>
            <rFont val="Calibri"/>
          </rPr>
          <t>The virtual switch Forged Transmits policy must be set to reject on the ESXi host.</t>
        </r>
      </text>
    </comment>
    <comment ref="O88" authorId="0" shapeId="0" xr:uid="{00000000-0006-0000-0600-00009C000000}">
      <text>
        <r>
          <rPr>
            <sz val="11"/>
            <rFont val="Calibri"/>
          </rPr>
          <t>The virtual switch MAC Address Change policy must be set to reject on the ESXi host.</t>
        </r>
      </text>
    </comment>
    <comment ref="P88" authorId="0" shapeId="0" xr:uid="{00000000-0006-0000-0600-00009D000000}">
      <text>
        <r>
          <rPr>
            <sz val="11"/>
            <rFont val="Calibri"/>
          </rPr>
          <t>The virtual switch Promiscuous Mode policy must be set to reject on the ESXi host.</t>
        </r>
      </text>
    </comment>
    <comment ref="Q88" authorId="0" shapeId="0" xr:uid="{00000000-0006-0000-0600-00009E000000}">
      <text>
        <r>
          <rPr>
            <sz val="11"/>
            <rFont val="Calibri"/>
          </rPr>
          <t>For the ESXi host all port groups must be configured to a value other than that of the native VLAN.</t>
        </r>
      </text>
    </comment>
    <comment ref="R88" authorId="0" shapeId="0" xr:uid="{00000000-0006-0000-0600-00009F000000}">
      <text>
        <r>
          <rPr>
            <sz val="11"/>
            <rFont val="Calibri"/>
          </rPr>
          <t>For the ESXi host all port groups must not be configured to VLAN 4095 unless Virtual Guest Tagging (VGT) is required.</t>
        </r>
      </text>
    </comment>
    <comment ref="S88" authorId="0" shapeId="0" xr:uid="{00000000-0006-0000-0600-0000A0000000}">
      <text>
        <r>
          <rPr>
            <sz val="11"/>
            <rFont val="Calibri"/>
          </rPr>
          <t>For the ESXi host all port groups must not be configured to VLAN values reserved by upstream physical switches.</t>
        </r>
      </text>
    </comment>
    <comment ref="T88" authorId="0" shapeId="0" xr:uid="{00000000-0006-0000-0600-0000A1000000}">
      <text>
        <r>
          <rPr>
            <sz val="11"/>
            <rFont val="Calibri"/>
          </rPr>
          <t>All ESXi host-connected virtual switch VLANs must be fully documented and have only the required VLANs.</t>
        </r>
      </text>
    </comment>
    <comment ref="U88" authorId="0" shapeId="0" xr:uid="{00000000-0006-0000-0600-0000A2000000}">
      <text>
        <r>
          <rPr>
            <sz val="11"/>
            <rFont val="Calibri"/>
          </rPr>
          <t>The vCenter Server for Windows must manage excess capacity, bandwidth, or other redundancy to limit the effects of information-flooding types of Denial of Service (DoS) attacks by enabling Network I/O Control (NIOC).</t>
        </r>
      </text>
    </comment>
    <comment ref="V88" authorId="0" shapeId="0" xr:uid="{00000000-0006-0000-0600-0000A3000000}">
      <text>
        <r>
          <rPr>
            <sz val="11"/>
            <rFont val="Calibri"/>
          </rPr>
          <t>The vCenter Server for Windows must set the distributed port group Forged Transmits policy to reject.</t>
        </r>
      </text>
    </comment>
    <comment ref="W88" authorId="0" shapeId="0" xr:uid="{00000000-0006-0000-0600-0000A4000000}">
      <text>
        <r>
          <rPr>
            <sz val="11"/>
            <rFont val="Calibri"/>
          </rPr>
          <t>The vCenter Server for Windows must set the distributed port group MAC Address Change policy to reject.</t>
        </r>
      </text>
    </comment>
    <comment ref="X88" authorId="0" shapeId="0" xr:uid="{00000000-0006-0000-0600-0000A5000000}">
      <text>
        <r>
          <rPr>
            <sz val="11"/>
            <rFont val="Calibri"/>
          </rPr>
          <t>The vCenter Server for Windows must set the distributed port group Promiscuous Mode policy to reject.</t>
        </r>
      </text>
    </comment>
    <comment ref="Y88" authorId="0" shapeId="0" xr:uid="{00000000-0006-0000-0600-0000A6000000}">
      <text>
        <r>
          <rPr>
            <sz val="11"/>
            <rFont val="Calibri"/>
          </rPr>
          <t>The vCenter Server for Windows must only send NetFlow traffic to authorized collectors.</t>
        </r>
      </text>
    </comment>
    <comment ref="Z88" authorId="0" shapeId="0" xr:uid="{00000000-0006-0000-0600-0000A7000000}">
      <text>
        <r>
          <rPr>
            <sz val="11"/>
            <rFont val="Calibri"/>
          </rPr>
          <t>The vCenter Server for Windows must configure all port groups to a value other than that of the native VLAN.</t>
        </r>
      </text>
    </comment>
    <comment ref="AA88" authorId="0" shapeId="0" xr:uid="{00000000-0006-0000-0600-0000A8000000}">
      <text>
        <r>
          <rPr>
            <sz val="11"/>
            <rFont val="Calibri"/>
          </rPr>
          <t>The vCenter Server for Windows must configure all port groups to VLAN 4095 unless Virtual Guest Tagging (VGT) is required.</t>
        </r>
      </text>
    </comment>
    <comment ref="AB88" authorId="0" shapeId="0" xr:uid="{00000000-0006-0000-0600-0000A9000000}">
      <text>
        <r>
          <rPr>
            <sz val="11"/>
            <rFont val="Calibri"/>
          </rPr>
          <t>The vCenter Server for Windows must not configure all port groups to VLAN values reserved by upstream physical switches.</t>
        </r>
      </text>
    </comment>
    <comment ref="AC88" authorId="0" shapeId="0" xr:uid="{00000000-0006-0000-0600-0000AA000000}">
      <text>
        <r>
          <rPr>
            <sz val="11"/>
            <rFont val="Calibri"/>
          </rPr>
          <t>The vCenter Server for Windows must restrict the connectivity between Update Manager and public patch repositories by use of a separate Update Manager Download Server.</t>
        </r>
      </text>
    </comment>
    <comment ref="AD88" authorId="0" shapeId="0" xr:uid="{00000000-0006-0000-0600-0000AB000000}">
      <text>
        <r>
          <rPr>
            <sz val="11"/>
            <rFont val="Calibri"/>
          </rPr>
          <t>The vCenter Server for Windows must protect the confidentiality and integrity of transmitted information by isolating IP-based storage traffic.</t>
        </r>
      </text>
    </comment>
    <comment ref="AE88" authorId="0" shapeId="0" xr:uid="{00000000-0006-0000-0600-0000AC000000}">
      <text>
        <r>
          <rPr>
            <sz val="11"/>
            <rFont val="Calibri"/>
          </rPr>
          <t>The vCenter Server for Windows must disable or restrict the connectivity between vSAN Health Check and public Hardware Compatibility List by use of an external proxy server.</t>
        </r>
      </text>
    </comment>
    <comment ref="J89" authorId="0" shapeId="0" xr:uid="{00000000-0006-0000-0600-0000AD000000}">
      <text>
        <r>
          <rPr>
            <sz val="11"/>
            <rFont val="Calibri"/>
          </rPr>
          <t>The ESXi host must disable Inter-VM transparent page sharing.</t>
        </r>
      </text>
    </comment>
    <comment ref="K89" authorId="0" shapeId="0" xr:uid="{00000000-0006-0000-0600-0000AE000000}">
      <text>
        <r>
          <rPr>
            <sz val="11"/>
            <rFont val="Calibri"/>
          </rPr>
          <t>Copy operations must be disabled on the virtual machine.</t>
        </r>
      </text>
    </comment>
    <comment ref="L89" authorId="0" shapeId="0" xr:uid="{00000000-0006-0000-0600-0000AF000000}">
      <text>
        <r>
          <rPr>
            <sz val="11"/>
            <rFont val="Calibri"/>
          </rPr>
          <t>Drag and drop operations must be disabled on the virtual machine.</t>
        </r>
      </text>
    </comment>
    <comment ref="M89" authorId="0" shapeId="0" xr:uid="{00000000-0006-0000-0600-0000B0000000}">
      <text>
        <r>
          <rPr>
            <sz val="11"/>
            <rFont val="Calibri"/>
          </rPr>
          <t>GUI functionality for copy/paste operations must be disabled on the virtual machine.</t>
        </r>
      </text>
    </comment>
    <comment ref="N89" authorId="0" shapeId="0" xr:uid="{00000000-0006-0000-0600-0000B1000000}">
      <text>
        <r>
          <rPr>
            <sz val="11"/>
            <rFont val="Calibri"/>
          </rPr>
          <t>Paste operations must be disabled on the virtual machine.</t>
        </r>
      </text>
    </comment>
    <comment ref="O89" authorId="0" shapeId="0" xr:uid="{00000000-0006-0000-0600-0000B2000000}">
      <text>
        <r>
          <rPr>
            <sz val="11"/>
            <rFont val="Calibri"/>
          </rPr>
          <t>HGFS file transfers must be disabled on the virtual machine.</t>
        </r>
      </text>
    </comment>
    <comment ref="P89" authorId="0" shapeId="0" xr:uid="{00000000-0006-0000-0600-0000B3000000}">
      <text>
        <r>
          <rPr>
            <sz val="11"/>
            <rFont val="Calibri"/>
          </rPr>
          <t>The virtual machine must not be able to obtain host information from the hypervisor.</t>
        </r>
      </text>
    </comment>
    <comment ref="Q89" authorId="0" shapeId="0" xr:uid="{00000000-0006-0000-0600-0000B4000000}">
      <text>
        <r>
          <rPr>
            <sz val="11"/>
            <rFont val="Calibri"/>
          </rPr>
          <t>Shared salt values must be disabled on the virtual machine.</t>
        </r>
      </text>
    </comment>
    <comment ref="J90" authorId="0" shapeId="0" xr:uid="{00000000-0006-0000-0600-0000B5000000}">
      <text>
        <r>
          <rPr>
            <sz val="11"/>
            <rFont val="Calibri"/>
          </rPr>
          <t>The ESXi host must configure the firewall to restrict access to services running on the host.</t>
        </r>
      </text>
    </comment>
    <comment ref="K90" authorId="0" shapeId="0" xr:uid="{00000000-0006-0000-0600-0000B6000000}">
      <text>
        <r>
          <rPr>
            <sz val="11"/>
            <rFont val="Calibri"/>
          </rPr>
          <t>The ESXi host must configure the firewall to block network traffic by default.</t>
        </r>
      </text>
    </comment>
    <comment ref="J91" authorId="0" shapeId="0" xr:uid="{00000000-0006-0000-0600-0000B7000000}">
      <text>
        <r>
          <rPr>
            <sz val="11"/>
            <rFont val="Calibri"/>
          </rPr>
          <t>The ESXi host SSH daemon must use DoD-approved encryption to protect the confidentiality of remote access sessions.</t>
        </r>
      </text>
    </comment>
    <comment ref="K91" authorId="0" shapeId="0" xr:uid="{00000000-0006-0000-0600-0000B8000000}">
      <text>
        <r>
          <rPr>
            <sz val="11"/>
            <rFont val="Calibri"/>
          </rPr>
          <t>The ESXi host SSH daemon must be configured to only use Message Authentication Codes (MACs) employing FIPS 140-2 approved cryptographic hash algorithms.</t>
        </r>
      </text>
    </comment>
    <comment ref="L91" authorId="0" shapeId="0" xr:uid="{00000000-0006-0000-0600-0000B9000000}">
      <text>
        <r>
          <rPr>
            <sz val="11"/>
            <rFont val="Calibri"/>
          </rPr>
          <t>The ESXi host must use the vSphere Authentication Proxy to protect passwords when adding ESXi hosts to Active Directory.</t>
        </r>
      </text>
    </comment>
    <comment ref="M91" authorId="0" shapeId="0" xr:uid="{00000000-0006-0000-0600-0000BA000000}">
      <text>
        <r>
          <rPr>
            <sz val="11"/>
            <rFont val="Calibri"/>
          </rPr>
          <t>The ESXi host must use DoD-approved certificates.</t>
        </r>
      </text>
    </comment>
    <comment ref="N91" authorId="0" shapeId="0" xr:uid="{00000000-0006-0000-0600-0000BB000000}">
      <text>
        <r>
          <rPr>
            <sz val="11"/>
            <rFont val="Calibri"/>
          </rPr>
          <t>The vCenter Server for Windows must enable SSL for Network File Copy (NFC).</t>
        </r>
      </text>
    </comment>
    <comment ref="O91" authorId="0" shapeId="0" xr:uid="{00000000-0006-0000-0600-0000BC000000}">
      <text>
        <r>
          <rPr>
            <sz val="11"/>
            <rFont val="Calibri"/>
          </rPr>
          <t>The vCenter Server for Windows must enable TLS 1.2 exclusively.</t>
        </r>
      </text>
    </comment>
    <comment ref="P91" authorId="0" shapeId="0" xr:uid="{00000000-0006-0000-0600-0000BD000000}">
      <text>
        <r>
          <rPr>
            <sz val="11"/>
            <rFont val="Calibri"/>
          </rPr>
          <t>The vCenter Server for Windows reverse proxy must use DoD approved certificates.</t>
        </r>
      </text>
    </comment>
    <comment ref="Q91" authorId="0" shapeId="0" xr:uid="{00000000-0006-0000-0600-0000BE000000}">
      <text>
        <r>
          <rPr>
            <sz val="11"/>
            <rFont val="Calibri"/>
          </rPr>
          <t>The vCenter Server for Windows must use LDAPS when adding an SSO identity source.</t>
        </r>
      </text>
    </comment>
    <comment ref="R91" authorId="0" shapeId="0" xr:uid="{00000000-0006-0000-0600-0000BF000000}">
      <text>
        <r>
          <rPr>
            <sz val="11"/>
            <rFont val="Calibri"/>
          </rPr>
          <t>Encryption must be enabled for vMotion on the virtual machine.</t>
        </r>
      </text>
    </comment>
    <comment ref="S91" authorId="0" shapeId="0" xr:uid="{00000000-0006-0000-0600-0000C0000000}">
      <text>
        <r>
          <rPr>
            <sz val="11"/>
            <rFont val="Calibri"/>
          </rPr>
          <t>The ESXi host must protect the confidentiality and integrity of transmitted information.</t>
        </r>
      </text>
    </comment>
    <comment ref="J93" authorId="0" shapeId="0" xr:uid="{00000000-0006-0000-0600-0000C1000000}">
      <text>
        <r>
          <rPr>
            <sz val="11"/>
            <rFont val="Calibri"/>
          </rPr>
          <t>The vCenter Server for Windows must have new Key Encryption Keys (KEKs) re-issued at regular intervals for vSAN encrypted datastore(s).</t>
        </r>
      </text>
    </comment>
    <comment ref="J94" authorId="0" shapeId="0" xr:uid="{00000000-0006-0000-0600-0000C2000000}">
      <text>
        <r>
          <rPr>
            <sz val="11"/>
            <rFont val="Calibri"/>
          </rPr>
          <t>The ESXi host SSH daemon must use DoD-approved encryption to protect the confidentiality of remote access sessions.</t>
        </r>
      </text>
    </comment>
    <comment ref="K94" authorId="0" shapeId="0" xr:uid="{00000000-0006-0000-0600-0000C3000000}">
      <text>
        <r>
          <rPr>
            <sz val="11"/>
            <rFont val="Calibri"/>
          </rPr>
          <t>The ESXi host SSH daemon must be configured to only use Message Authentication Codes (MACs) employing FIPS 140-2 approved cryptographic hash algorithms.</t>
        </r>
      </text>
    </comment>
    <comment ref="L94" authorId="0" shapeId="0" xr:uid="{00000000-0006-0000-0600-0000C4000000}">
      <text>
        <r>
          <rPr>
            <sz val="11"/>
            <rFont val="Calibri"/>
          </rPr>
          <t>The password hashes stored on the ESXi host must have been generated using a FIPS 140-2 approved cryptographic hashing algorithm.</t>
        </r>
      </text>
    </comment>
    <comment ref="M94" authorId="0" shapeId="0" xr:uid="{00000000-0006-0000-0600-0000C5000000}">
      <text>
        <r>
          <rPr>
            <sz val="11"/>
            <rFont val="Calibri"/>
          </rPr>
          <t>The vCenter Server for Windows must enable TLS 1.2 exclusively.</t>
        </r>
      </text>
    </comment>
    <comment ref="N94" authorId="0" shapeId="0" xr:uid="{00000000-0006-0000-0600-0000C6000000}">
      <text>
        <r>
          <rPr>
            <sz val="11"/>
            <rFont val="Calibri"/>
          </rPr>
          <t>The vCenter Server for Windows must have new Key Encryption Keys (KEKs) re-issued at regular intervals for vSAN encrypted datastore(s).</t>
        </r>
      </text>
    </comment>
    <comment ref="J97" authorId="0" shapeId="0" xr:uid="{00000000-0006-0000-0600-0000C7000000}">
      <text>
        <r>
          <rPr>
            <sz val="11"/>
            <rFont val="Calibri"/>
          </rPr>
          <t>The ESXi host must enable bidirectional CHAP authentication for iSCSI traffic.</t>
        </r>
      </text>
    </comment>
    <comment ref="K97" authorId="0" shapeId="0" xr:uid="{00000000-0006-0000-0600-0000C8000000}">
      <text>
        <r>
          <rPr>
            <sz val="11"/>
            <rFont val="Calibri"/>
          </rPr>
          <t>The ESXi host must use DoD-approved certificates.</t>
        </r>
      </text>
    </comment>
    <comment ref="L97" authorId="0" shapeId="0" xr:uid="{00000000-0006-0000-0600-0000C9000000}">
      <text>
        <r>
          <rPr>
            <sz val="11"/>
            <rFont val="Calibri"/>
          </rPr>
          <t>The vCenter Server for Windows reverse proxy must use DoD approved certificates.</t>
        </r>
      </text>
    </comment>
    <comment ref="M97" authorId="0" shapeId="0" xr:uid="{00000000-0006-0000-0600-0000CA000000}">
      <text>
        <r>
          <rPr>
            <sz val="11"/>
            <rFont val="Calibri"/>
          </rPr>
          <t>The vCenter Server for Windows must have Mutual CHAP configured for vSAN iSCSI targets.</t>
        </r>
      </text>
    </comment>
    <comment ref="J99" authorId="0" shapeId="0" xr:uid="{00000000-0006-0000-0600-0000CB000000}">
      <text>
        <r>
          <rPr>
            <sz val="11"/>
            <rFont val="Calibri"/>
          </rPr>
          <t>The ESXi Image Profile and VIB Acceptance Levels must be verified.</t>
        </r>
      </text>
    </comment>
    <comment ref="K99" authorId="0" shapeId="0" xr:uid="{00000000-0006-0000-0600-0000CC000000}">
      <text>
        <r>
          <rPr>
            <sz val="11"/>
            <rFont val="Calibri"/>
          </rPr>
          <t>The ESXi host must verify the integrity of the installation media before installing ESXi.</t>
        </r>
      </text>
    </comment>
    <comment ref="L99" authorId="0" shapeId="0" xr:uid="{00000000-0006-0000-0600-0000CD000000}">
      <text>
        <r>
          <rPr>
            <sz val="11"/>
            <rFont val="Calibri"/>
          </rPr>
          <t>The ESXi host must have all security patches and updates installed.</t>
        </r>
      </text>
    </comment>
    <comment ref="J102" authorId="0" shapeId="0" xr:uid="{00000000-0006-0000-0600-0000CE000000}">
      <text>
        <r>
          <rPr>
            <sz val="11"/>
            <rFont val="Calibri"/>
          </rPr>
          <t>The vCenter Server for Windows must enable the vSAN Health Check.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ESXi host must verify the DCUI.Access list.</t>
        </r>
      </text>
    </comment>
    <comment ref="I89" authorId="0" shapeId="0" xr:uid="{00000000-0006-0000-0700-000019000000}">
      <text>
        <r>
          <rPr>
            <sz val="11"/>
            <rFont val="Calibri"/>
          </rPr>
          <t>The ESXi host must verify the exception users list for lockdown mode.</t>
        </r>
      </text>
    </comment>
    <comment ref="J89" authorId="0" shapeId="0" xr:uid="{00000000-0006-0000-0700-000002000000}">
      <text>
        <r>
          <rPr>
            <sz val="11"/>
            <rFont val="Calibri"/>
          </rPr>
          <t>The ESXi host must enforce the limit of three consecutive invalid logon attempts by a user.</t>
        </r>
      </text>
    </comment>
    <comment ref="K89" authorId="0" shapeId="0" xr:uid="{00000000-0006-0000-0700-000003000000}">
      <text>
        <r>
          <rPr>
            <sz val="11"/>
            <rFont val="Calibri"/>
          </rPr>
          <t>The ESXi host must enforce the unlock timeout of 15 minutes after a user account is locked out.</t>
        </r>
      </text>
    </comment>
    <comment ref="L89" authorId="0" shapeId="0" xr:uid="{00000000-0006-0000-0700-000004000000}">
      <text>
        <r>
          <rPr>
            <sz val="11"/>
            <rFont val="Calibri"/>
          </rPr>
          <t>The ESXi host must remove keys from the SSH authorized_keys file.</t>
        </r>
      </text>
    </comment>
    <comment ref="M89" authorId="0" shapeId="0" xr:uid="{00000000-0006-0000-0700-000005000000}">
      <text>
        <r>
          <rPr>
            <sz val="11"/>
            <rFont val="Calibri"/>
          </rPr>
          <t>The ESXi host  must enforce password complexity by requiring that at least one upper-case character be used.</t>
        </r>
      </text>
    </comment>
    <comment ref="N89" authorId="0" shapeId="0" xr:uid="{00000000-0006-0000-0700-000006000000}">
      <text>
        <r>
          <rPr>
            <sz val="11"/>
            <rFont val="Calibri"/>
          </rPr>
          <t>The ESXi host must prohibit the reuse of passwords within five iterations.</t>
        </r>
      </text>
    </comment>
    <comment ref="O89" authorId="0" shapeId="0" xr:uid="{00000000-0006-0000-0700-000007000000}">
      <text>
        <r>
          <rPr>
            <sz val="11"/>
            <rFont val="Calibri"/>
          </rPr>
          <t>The password hashes stored on the ESXi host must have been generated using a FIPS 140-2 approved cryptographic hashing algorithm.</t>
        </r>
      </text>
    </comment>
    <comment ref="P89" authorId="0" shapeId="0" xr:uid="{00000000-0006-0000-0700-000008000000}">
      <text>
        <r>
          <rPr>
            <sz val="11"/>
            <rFont val="Calibri"/>
          </rPr>
          <t>The ESXi host must use Active Directory for local user authentication.</t>
        </r>
      </text>
    </comment>
    <comment ref="Q89" authorId="0" shapeId="0" xr:uid="{00000000-0006-0000-0700-000009000000}">
      <text>
        <r>
          <rPr>
            <sz val="11"/>
            <rFont val="Calibri"/>
          </rPr>
          <t>The ESXi host must require individuals to be authenticated with an individual authenticator prior to using a group authenticator by using Active Directory for local user authentication.</t>
        </r>
      </text>
    </comment>
    <comment ref="R89" authorId="0" shapeId="0" xr:uid="{00000000-0006-0000-0700-00000A000000}">
      <text>
        <r>
          <rPr>
            <sz val="11"/>
            <rFont val="Calibri"/>
          </rPr>
          <t>The vCenter Server for Windows must prohibit password reuse for a minimum of five generations.</t>
        </r>
      </text>
    </comment>
    <comment ref="S89" authorId="0" shapeId="0" xr:uid="{00000000-0006-0000-0700-00000B000000}">
      <text>
        <r>
          <rPr>
            <sz val="11"/>
            <rFont val="Calibri"/>
          </rPr>
          <t>The vCenter Server for Windows must enforce a 60-day maximum password lifetime restriction.</t>
        </r>
      </text>
    </comment>
    <comment ref="T89" authorId="0" shapeId="0" xr:uid="{00000000-0006-0000-0700-00000C000000}">
      <text>
        <r>
          <rPr>
            <sz val="11"/>
            <rFont val="Calibri"/>
          </rPr>
          <t>The vCenter Server for Windows must use Active Directory authentication.</t>
        </r>
      </text>
    </comment>
    <comment ref="U89" authorId="0" shapeId="0" xr:uid="{00000000-0006-0000-0700-00000D000000}">
      <text>
        <r>
          <rPr>
            <sz val="11"/>
            <rFont val="Calibri"/>
          </rPr>
          <t>The vCenter Server for Windows must configure the vpxuser auto-password to be changed every 30 days.</t>
        </r>
      </text>
    </comment>
    <comment ref="V89" authorId="0" shapeId="0" xr:uid="{00000000-0006-0000-0700-00000E000000}">
      <text>
        <r>
          <rPr>
            <sz val="11"/>
            <rFont val="Calibri"/>
          </rPr>
          <t>The vCenter Server for Windows must configure the vpxuser password meets length policy.</t>
        </r>
      </text>
    </comment>
    <comment ref="W89" authorId="0" shapeId="0" xr:uid="{00000000-0006-0000-0700-00000F000000}">
      <text>
        <r>
          <rPr>
            <sz val="11"/>
            <rFont val="Calibri"/>
          </rPr>
          <t>The vCenter Server for Windows must check the privilege re-assignment after restarts.</t>
        </r>
      </text>
    </comment>
    <comment ref="X89" authorId="0" shapeId="0" xr:uid="{00000000-0006-0000-0700-000010000000}">
      <text>
        <r>
          <rPr>
            <sz val="11"/>
            <rFont val="Calibri"/>
          </rPr>
          <t>The vCenter Server for Windows must use unique service accounts when applications connect to vCenter.</t>
        </r>
      </text>
    </comment>
    <comment ref="Y89" authorId="0" shapeId="0" xr:uid="{00000000-0006-0000-0700-000011000000}">
      <text>
        <r>
          <rPr>
            <sz val="11"/>
            <rFont val="Calibri"/>
          </rPr>
          <t>The vCenter Server for Windows passwords must be at least 15 characters in length.</t>
        </r>
      </text>
    </comment>
    <comment ref="Z89" authorId="0" shapeId="0" xr:uid="{00000000-0006-0000-0700-000012000000}">
      <text>
        <r>
          <rPr>
            <sz val="11"/>
            <rFont val="Calibri"/>
          </rPr>
          <t>The vCenter Server for Windows passwords must contain at least one uppercase character.</t>
        </r>
      </text>
    </comment>
    <comment ref="AA89" authorId="0" shapeId="0" xr:uid="{00000000-0006-0000-0700-000013000000}">
      <text>
        <r>
          <rPr>
            <sz val="11"/>
            <rFont val="Calibri"/>
          </rPr>
          <t>The vCenter Server for Windows passwords must contain at least one lowercase character.</t>
        </r>
      </text>
    </comment>
    <comment ref="AB89" authorId="0" shapeId="0" xr:uid="{00000000-0006-0000-0700-000014000000}">
      <text>
        <r>
          <rPr>
            <sz val="11"/>
            <rFont val="Calibri"/>
          </rPr>
          <t>The vCenter Server for Windows passwords must contain at least one numeric character.</t>
        </r>
      </text>
    </comment>
    <comment ref="AC89" authorId="0" shapeId="0" xr:uid="{00000000-0006-0000-0700-000015000000}">
      <text>
        <r>
          <rPr>
            <sz val="11"/>
            <rFont val="Calibri"/>
          </rPr>
          <t>The vCenter Server for Windows passwords must contain at least one special character.</t>
        </r>
      </text>
    </comment>
    <comment ref="AD89" authorId="0" shapeId="0" xr:uid="{00000000-0006-0000-0700-000016000000}">
      <text>
        <r>
          <rPr>
            <sz val="11"/>
            <rFont val="Calibri"/>
          </rPr>
          <t>The vCenter Server for Windows must limit the maximum number of failed login attempts to three.</t>
        </r>
      </text>
    </comment>
    <comment ref="AE89" authorId="0" shapeId="0" xr:uid="{00000000-0006-0000-0700-000017000000}">
      <text>
        <r>
          <rPr>
            <sz val="11"/>
            <rFont val="Calibri"/>
          </rPr>
          <t>The vCenter Server for Windows must set the interval for counting failed login attempts to at least 15 minutes.</t>
        </r>
      </text>
    </comment>
    <comment ref="AF89" authorId="0" shapeId="0" xr:uid="{00000000-0006-0000-0700-000018000000}">
      <text>
        <r>
          <rPr>
            <sz val="11"/>
            <rFont val="Calibri"/>
          </rPr>
          <t>The vCenter Server for Windows must require an administrator to unlock an account locked due to excessive login failures.</t>
        </r>
      </text>
    </comment>
    <comment ref="H91" authorId="0" shapeId="0" xr:uid="{00000000-0006-0000-0700-00001A000000}">
      <text>
        <r>
          <rPr>
            <sz val="11"/>
            <rFont val="Calibri"/>
          </rPr>
          <t>The ESXi host SSH daemon must not allow authentication using an empty password.</t>
        </r>
      </text>
    </comment>
    <comment ref="I91" authorId="0" shapeId="0" xr:uid="{00000000-0006-0000-0700-00001B000000}">
      <text>
        <r>
          <rPr>
            <sz val="11"/>
            <rFont val="Calibri"/>
          </rPr>
          <t>The ESXi host must use Active Directory for local user authentication.</t>
        </r>
      </text>
    </comment>
    <comment ref="J91" authorId="0" shapeId="0" xr:uid="{00000000-0006-0000-0700-00001C000000}">
      <text>
        <r>
          <rPr>
            <sz val="11"/>
            <rFont val="Calibri"/>
          </rPr>
          <t>The ESXi host must use multifactor authentication for local access to privileged accounts.</t>
        </r>
      </text>
    </comment>
    <comment ref="K91" authorId="0" shapeId="0" xr:uid="{00000000-0006-0000-0700-00001D000000}">
      <text>
        <r>
          <rPr>
            <sz val="11"/>
            <rFont val="Calibri"/>
          </rPr>
          <t>The ESXi host must enable bidirectional CHAP authentication for iSCSI traffic.</t>
        </r>
      </text>
    </comment>
    <comment ref="L91" authorId="0" shapeId="0" xr:uid="{00000000-0006-0000-0700-00001E000000}">
      <text>
        <r>
          <rPr>
            <sz val="11"/>
            <rFont val="Calibri"/>
          </rPr>
          <t>The ESXi host must require individuals to be authenticated with an individual authenticator prior to using a group authenticator by using Active Directory for local user authentication.</t>
        </r>
      </text>
    </comment>
    <comment ref="M91" authorId="0" shapeId="0" xr:uid="{00000000-0006-0000-0700-00001F000000}">
      <text>
        <r>
          <rPr>
            <sz val="11"/>
            <rFont val="Calibri"/>
          </rPr>
          <t>The vCenter Server for Windows must use Active Directory authentication.</t>
        </r>
      </text>
    </comment>
    <comment ref="N91" authorId="0" shapeId="0" xr:uid="{00000000-0006-0000-0700-000020000000}">
      <text>
        <r>
          <rPr>
            <sz val="11"/>
            <rFont val="Calibri"/>
          </rPr>
          <t>The vCenter Server for Windows must enable certificate based authentication.</t>
        </r>
      </text>
    </comment>
    <comment ref="O91" authorId="0" shapeId="0" xr:uid="{00000000-0006-0000-0700-000021000000}">
      <text>
        <r>
          <rPr>
            <sz val="11"/>
            <rFont val="Calibri"/>
          </rPr>
          <t>The vCenter Server for Windows must have Mutual CHAP configured for vSAN iSCSI targets.</t>
        </r>
      </text>
    </comment>
    <comment ref="H92" authorId="0" shapeId="0" xr:uid="{00000000-0006-0000-0700-000022000000}">
      <text>
        <r>
          <rPr>
            <sz val="11"/>
            <rFont val="Calibri"/>
          </rPr>
          <t>The ESXi host must use the vSphere Authentication Proxy to protect passwords when adding ESXi hosts to Active Directory.</t>
        </r>
      </text>
    </comment>
    <comment ref="I92" authorId="0" shapeId="0" xr:uid="{00000000-0006-0000-0700-000023000000}">
      <text>
        <r>
          <rPr>
            <sz val="11"/>
            <rFont val="Calibri"/>
          </rPr>
          <t>The ESXi host must use multifactor authentication for local access to privileged accounts.</t>
        </r>
      </text>
    </comment>
    <comment ref="J92" authorId="0" shapeId="0" xr:uid="{00000000-0006-0000-0700-000024000000}">
      <text>
        <r>
          <rPr>
            <sz val="11"/>
            <rFont val="Calibri"/>
          </rPr>
          <t>The ESXi host must use DoD-approved certificates.</t>
        </r>
      </text>
    </comment>
    <comment ref="K92" authorId="0" shapeId="0" xr:uid="{00000000-0006-0000-0700-000025000000}">
      <text>
        <r>
          <rPr>
            <sz val="11"/>
            <rFont val="Calibri"/>
          </rPr>
          <t>The vCenter Server for Windows reverse proxy must use DoD approved certificates.</t>
        </r>
      </text>
    </comment>
    <comment ref="L92" authorId="0" shapeId="0" xr:uid="{00000000-0006-0000-0700-000026000000}">
      <text>
        <r>
          <rPr>
            <sz val="11"/>
            <rFont val="Calibri"/>
          </rPr>
          <t>The vCenter Server for Windows must enable certificate based authentication.</t>
        </r>
      </text>
    </comment>
    <comment ref="M92" authorId="0" shapeId="0" xr:uid="{00000000-0006-0000-0700-000027000000}">
      <text>
        <r>
          <rPr>
            <sz val="11"/>
            <rFont val="Calibri"/>
          </rPr>
          <t>The vCenter Server for Windows must enable revocation checking for certificate based authentication.</t>
        </r>
      </text>
    </comment>
    <comment ref="H93" authorId="0" shapeId="0" xr:uid="{00000000-0006-0000-0700-000028000000}">
      <text>
        <r>
          <rPr>
            <sz val="11"/>
            <rFont val="Calibri"/>
          </rPr>
          <t>The ESXi host must limit the number of concurrent sessions to ten for all accounts and/or account types by enabling lockdown mode.</t>
        </r>
      </text>
    </comment>
    <comment ref="I93" authorId="0" shapeId="0" xr:uid="{00000000-0006-0000-0700-00002C000000}">
      <text>
        <r>
          <rPr>
            <sz val="11"/>
            <rFont val="Calibri"/>
          </rPr>
          <t>The ESXi host SSH daemon must not permit root logins.</t>
        </r>
      </text>
    </comment>
    <comment ref="J93" authorId="0" shapeId="0" xr:uid="{00000000-0006-0000-0700-00002D000000}">
      <text>
        <r>
          <rPr>
            <sz val="11"/>
            <rFont val="Calibri"/>
          </rPr>
          <t>The ESXi host SSH daemon must set a timeout count on idle sessions.</t>
        </r>
      </text>
    </comment>
    <comment ref="K93" authorId="0" shapeId="0" xr:uid="{00000000-0006-0000-0700-00002E000000}">
      <text>
        <r>
          <rPr>
            <sz val="11"/>
            <rFont val="Calibri"/>
          </rPr>
          <t>The ESXi hostSSH daemon must set a timeout interval on idle sessions.</t>
        </r>
      </text>
    </comment>
    <comment ref="L93" authorId="0" shapeId="0" xr:uid="{00000000-0006-0000-0700-00002F000000}">
      <text>
        <r>
          <rPr>
            <sz val="11"/>
            <rFont val="Calibri"/>
          </rPr>
          <t>Active Directory ESX Admin group membership must not be used when adding ESXi hosts to Active Directory.</t>
        </r>
      </text>
    </comment>
    <comment ref="M93" authorId="0" shapeId="0" xr:uid="{00000000-0006-0000-0700-000030000000}">
      <text>
        <r>
          <rPr>
            <sz val="11"/>
            <rFont val="Calibri"/>
          </rPr>
          <t>The ESXi host must set a timeout to automatically disable idle sessions after 10 minutes.</t>
        </r>
      </text>
    </comment>
    <comment ref="N93" authorId="0" shapeId="0" xr:uid="{00000000-0006-0000-0700-000031000000}">
      <text>
        <r>
          <rPr>
            <sz val="11"/>
            <rFont val="Calibri"/>
          </rPr>
          <t>The ESXi host must terminate shell services after 10 minutes.</t>
        </r>
      </text>
    </comment>
    <comment ref="O93" authorId="0" shapeId="0" xr:uid="{00000000-0006-0000-0700-000032000000}">
      <text>
        <r>
          <rPr>
            <sz val="11"/>
            <rFont val="Calibri"/>
          </rPr>
          <t>The ESXi host must logout of the console UI after 10 minutes.</t>
        </r>
      </text>
    </comment>
    <comment ref="P93" authorId="0" shapeId="0" xr:uid="{00000000-0006-0000-0700-000033000000}">
      <text>
        <r>
          <rPr>
            <sz val="11"/>
            <rFont val="Calibri"/>
          </rPr>
          <t>The ESXi host must not provide root/administrator level access to CIM-based hardware monitoring tools or other third-party applications.</t>
        </r>
      </text>
    </comment>
    <comment ref="Q93" authorId="0" shapeId="0" xr:uid="{00000000-0006-0000-0700-000034000000}">
      <text>
        <r>
          <rPr>
            <sz val="11"/>
            <rFont val="Calibri"/>
          </rPr>
          <t>The vCenter Server for Windows must not automatically refresh client sessions.</t>
        </r>
      </text>
    </comment>
    <comment ref="R93" authorId="0" shapeId="0" xr:uid="{00000000-0006-0000-0700-000035000000}">
      <text>
        <r>
          <rPr>
            <sz val="11"/>
            <rFont val="Calibri"/>
          </rPr>
          <t>The vCenter Server for Windows must terminate management sessions after 10 minutes of inactivity.</t>
        </r>
      </text>
    </comment>
    <comment ref="S93" authorId="0" shapeId="0" xr:uid="{00000000-0006-0000-0700-000036000000}">
      <text>
        <r>
          <rPr>
            <sz val="11"/>
            <rFont val="Calibri"/>
          </rPr>
          <t>The vCenter Server for Windows users must have the correct roles assigned.</t>
        </r>
      </text>
    </comment>
    <comment ref="T93" authorId="0" shapeId="0" xr:uid="{00000000-0006-0000-0700-000037000000}">
      <text>
        <r>
          <rPr>
            <sz val="11"/>
            <rFont val="Calibri"/>
          </rPr>
          <t>The vCenter Server for Windows must limit the use of the built-in SSO administrative account.</t>
        </r>
      </text>
    </comment>
    <comment ref="U93" authorId="0" shapeId="0" xr:uid="{00000000-0006-0000-0700-000038000000}">
      <text>
        <r>
          <rPr>
            <sz val="11"/>
            <rFont val="Calibri"/>
          </rPr>
          <t>The vCenter Server for Windows services must be ran using a service account instead of a built-in Windows account.</t>
        </r>
      </text>
    </comment>
    <comment ref="V93" authorId="0" shapeId="0" xr:uid="{00000000-0006-0000-0700-000039000000}">
      <text>
        <r>
          <rPr>
            <sz val="11"/>
            <rFont val="Calibri"/>
          </rPr>
          <t>The vCenter Server for Windows must check the privilege re-assignment after restarts.</t>
        </r>
      </text>
    </comment>
    <comment ref="W93" authorId="0" shapeId="0" xr:uid="{00000000-0006-0000-0700-00003A000000}">
      <text>
        <r>
          <rPr>
            <sz val="11"/>
            <rFont val="Calibri"/>
          </rPr>
          <t>The vCenter Server for Windows must minimize access to the vCenter server.</t>
        </r>
      </text>
    </comment>
    <comment ref="X93" authorId="0" shapeId="0" xr:uid="{00000000-0006-0000-0700-00003B000000}">
      <text>
        <r>
          <rPr>
            <sz val="11"/>
            <rFont val="Calibri"/>
          </rPr>
          <t>The vCenter Server for Windows Administrator role must be secured and assigned to specific users other than a Windows Administrator.</t>
        </r>
      </text>
    </comment>
    <comment ref="Y93" authorId="0" shapeId="0" xr:uid="{00000000-0006-0000-0700-00003C000000}">
      <text>
        <r>
          <rPr>
            <sz val="11"/>
            <rFont val="Calibri"/>
          </rPr>
          <t>The vCenter Server for Windows must use a least-privileges assignment for the Update Manager database user.</t>
        </r>
      </text>
    </comment>
    <comment ref="Z93" authorId="0" shapeId="0" xr:uid="{00000000-0006-0000-0700-00003D000000}">
      <text>
        <r>
          <rPr>
            <sz val="11"/>
            <rFont val="Calibri"/>
          </rPr>
          <t>The vCenter Server for Windows must use a least-privileges assignment for the vCenter Server database user.</t>
        </r>
      </text>
    </comment>
    <comment ref="AA93" authorId="0" shapeId="0" xr:uid="{00000000-0006-0000-0700-00003E000000}">
      <text>
        <r>
          <rPr>
            <sz val="11"/>
            <rFont val="Calibri"/>
          </rPr>
          <t>The vCenter Server for Windows users must have the correct roles assigned.</t>
        </r>
      </text>
    </comment>
    <comment ref="AB93" authorId="0" shapeId="0" xr:uid="{00000000-0006-0000-0700-00003F000000}">
      <text>
        <r>
          <rPr>
            <sz val="11"/>
            <rFont val="Calibri"/>
          </rPr>
          <t>The vCenter Server for Windows users must have the correct roles assigned.</t>
        </r>
      </text>
    </comment>
    <comment ref="AC93" authorId="0" shapeId="0" xr:uid="{00000000-0006-0000-0700-000040000000}">
      <text>
        <r>
          <rPr>
            <sz val="11"/>
            <rFont val="Calibri"/>
          </rPr>
          <t>The vCenter Server for Windows must restrict access to cryptographic role.</t>
        </r>
      </text>
    </comment>
    <comment ref="AD93" authorId="0" shapeId="0" xr:uid="{00000000-0006-0000-0700-000041000000}">
      <text>
        <r>
          <rPr>
            <sz val="11"/>
            <rFont val="Calibri"/>
          </rPr>
          <t>The vCenter Server for Windows must restrict access to cryptographic permissions.</t>
        </r>
      </text>
    </comment>
    <comment ref="AE93" authorId="0" shapeId="0" xr:uid="{00000000-0006-0000-0700-000042000000}">
      <text>
        <r>
          <rPr>
            <sz val="11"/>
            <rFont val="Calibri"/>
          </rPr>
          <t>The vCenter Server for Windows must use a limited privilege account when adding an LDAP identity source.</t>
        </r>
      </text>
    </comment>
    <comment ref="AF93" authorId="0" shapeId="0" xr:uid="{00000000-0006-0000-0700-000043000000}">
      <text>
        <r>
          <rPr>
            <sz val="11"/>
            <rFont val="Calibri"/>
          </rPr>
          <t>Console connection sharing must be limited on the virtual machine.</t>
        </r>
      </text>
    </comment>
    <comment ref="AG93" authorId="0" shapeId="0" xr:uid="{00000000-0006-0000-0700-000029000000}">
      <text>
        <r>
          <rPr>
            <sz val="11"/>
            <rFont val="Calibri"/>
          </rPr>
          <t>Unauthorized removal, connection and modification of devices must be prevented on the virtual machine.</t>
        </r>
      </text>
    </comment>
    <comment ref="AH93" authorId="0" shapeId="0" xr:uid="{00000000-0006-0000-0700-00002A000000}">
      <text>
        <r>
          <rPr>
            <sz val="11"/>
            <rFont val="Calibri"/>
          </rPr>
          <t>Use of the virtual machine console must be minimized.</t>
        </r>
      </text>
    </comment>
    <comment ref="AI93" authorId="0" shapeId="0" xr:uid="{00000000-0006-0000-0700-00002B000000}">
      <text>
        <r>
          <rPr>
            <sz val="11"/>
            <rFont val="Calibri"/>
          </rPr>
          <t>The virtual machine guest operating system must be locked when the last console connection is closed.</t>
        </r>
      </text>
    </comment>
    <comment ref="H110" authorId="0" shapeId="0" xr:uid="{00000000-0006-0000-0700-000044000000}">
      <text>
        <r>
          <rPr>
            <sz val="11"/>
            <rFont val="Calibri"/>
          </rPr>
          <t>The vCenter Server for Windows must have new Key Encryption Keys (KEKs) re-issued at regular intervals for vSAN encrypted datastore(s).</t>
        </r>
      </text>
    </comment>
    <comment ref="H111" authorId="0" shapeId="0" xr:uid="{00000000-0006-0000-0700-000045000000}">
      <text>
        <r>
          <rPr>
            <sz val="11"/>
            <rFont val="Calibri"/>
          </rPr>
          <t>The ESXi host SSH daemon must use DoD-approved encryption to protect the confidentiality of remote access sessions.</t>
        </r>
      </text>
    </comment>
    <comment ref="I111" authorId="0" shapeId="0" xr:uid="{00000000-0006-0000-0700-000046000000}">
      <text>
        <r>
          <rPr>
            <sz val="11"/>
            <rFont val="Calibri"/>
          </rPr>
          <t>The ESXi host SSH daemon must be configured to only use Message Authentication Codes (MACs) employing FIPS 140-2 approved cryptographic hash algorithms.</t>
        </r>
      </text>
    </comment>
    <comment ref="J111" authorId="0" shapeId="0" xr:uid="{00000000-0006-0000-0700-000047000000}">
      <text>
        <r>
          <rPr>
            <sz val="11"/>
            <rFont val="Calibri"/>
          </rPr>
          <t>The vCenter Server for Windows must enable SSL for Network File Copy (NFC).</t>
        </r>
      </text>
    </comment>
    <comment ref="K111" authorId="0" shapeId="0" xr:uid="{00000000-0006-0000-0700-000048000000}">
      <text>
        <r>
          <rPr>
            <sz val="11"/>
            <rFont val="Calibri"/>
          </rPr>
          <t>The vCenter Server for Windows must enable TLS 1.2 exclusively.</t>
        </r>
      </text>
    </comment>
    <comment ref="L111" authorId="0" shapeId="0" xr:uid="{00000000-0006-0000-0700-000049000000}">
      <text>
        <r>
          <rPr>
            <sz val="11"/>
            <rFont val="Calibri"/>
          </rPr>
          <t>The vCenter Server for Windows must use LDAPS when adding an SSO identity source.</t>
        </r>
      </text>
    </comment>
    <comment ref="M111" authorId="0" shapeId="0" xr:uid="{00000000-0006-0000-0700-00004A000000}">
      <text>
        <r>
          <rPr>
            <sz val="11"/>
            <rFont val="Calibri"/>
          </rPr>
          <t>Encryption must be enabled for vMotion on the virtual machine.</t>
        </r>
      </text>
    </comment>
    <comment ref="N111" authorId="0" shapeId="0" xr:uid="{00000000-0006-0000-0700-00004B000000}">
      <text>
        <r>
          <rPr>
            <sz val="11"/>
            <rFont val="Calibri"/>
          </rPr>
          <t>The ESXi host must protect the confidentiality and integrity of transmitted information.</t>
        </r>
      </text>
    </comment>
    <comment ref="H113" authorId="0" shapeId="0" xr:uid="{00000000-0006-0000-0700-00004C000000}">
      <text>
        <r>
          <rPr>
            <sz val="11"/>
            <rFont val="Calibri"/>
          </rPr>
          <t>The vCenter Server for Windows must manage excess capacity, bandwidth, or other redundancy to limit the effects of information-flooding types of Denial of Service (DoS) attacks by enabling Network I/O Control (NIOC).</t>
        </r>
      </text>
    </comment>
    <comment ref="I113" authorId="0" shapeId="0" xr:uid="{00000000-0006-0000-0700-00004D000000}">
      <text>
        <r>
          <rPr>
            <sz val="11"/>
            <rFont val="Calibri"/>
          </rPr>
          <t>Informational messages from the virtual machine to the VMX file must be limited on the virtual machine.</t>
        </r>
      </text>
    </comment>
    <comment ref="H114" authorId="0" shapeId="0" xr:uid="{00000000-0006-0000-0700-00004E000000}">
      <text>
        <r>
          <rPr>
            <sz val="11"/>
            <rFont val="Calibri"/>
          </rPr>
          <t>The vCenter Server for Windows must only send NetFlow traffic to authorized collectors.</t>
        </r>
      </text>
    </comment>
    <comment ref="I114" authorId="0" shapeId="0" xr:uid="{00000000-0006-0000-0700-00004F000000}">
      <text>
        <r>
          <rPr>
            <sz val="11"/>
            <rFont val="Calibri"/>
          </rPr>
          <t>The vCenter Server for Windows must disable the Customer Experience Improvement Program (CEIP).</t>
        </r>
      </text>
    </comment>
    <comment ref="J114" authorId="0" shapeId="0" xr:uid="{00000000-0006-0000-0700-000050000000}">
      <text>
        <r>
          <rPr>
            <sz val="11"/>
            <rFont val="Calibri"/>
          </rPr>
          <t>Copy operations must be disabled on the virtual machine.</t>
        </r>
      </text>
    </comment>
    <comment ref="K114" authorId="0" shapeId="0" xr:uid="{00000000-0006-0000-0700-000051000000}">
      <text>
        <r>
          <rPr>
            <sz val="11"/>
            <rFont val="Calibri"/>
          </rPr>
          <t>Drag and drop operations must be disabled on the virtual machine.</t>
        </r>
      </text>
    </comment>
    <comment ref="L114" authorId="0" shapeId="0" xr:uid="{00000000-0006-0000-0700-000052000000}">
      <text>
        <r>
          <rPr>
            <sz val="11"/>
            <rFont val="Calibri"/>
          </rPr>
          <t>GUI functionality for copy/paste operations must be disabled on the virtual machine.</t>
        </r>
      </text>
    </comment>
    <comment ref="M114" authorId="0" shapeId="0" xr:uid="{00000000-0006-0000-0700-000053000000}">
      <text>
        <r>
          <rPr>
            <sz val="11"/>
            <rFont val="Calibri"/>
          </rPr>
          <t>Paste operations must be disabled on the virtual machine.</t>
        </r>
      </text>
    </comment>
    <comment ref="N114" authorId="0" shapeId="0" xr:uid="{00000000-0006-0000-0700-000054000000}">
      <text>
        <r>
          <rPr>
            <sz val="11"/>
            <rFont val="Calibri"/>
          </rPr>
          <t>HGFS file transfers must be disabled on the virtual machine.</t>
        </r>
      </text>
    </comment>
    <comment ref="O114" authorId="0" shapeId="0" xr:uid="{00000000-0006-0000-0700-000055000000}">
      <text>
        <r>
          <rPr>
            <sz val="11"/>
            <rFont val="Calibri"/>
          </rPr>
          <t>The virtual machine must not be able to obtain host information from the hypervisor.</t>
        </r>
      </text>
    </comment>
    <comment ref="H115" authorId="0" shapeId="0" xr:uid="{00000000-0006-0000-0700-000056000000}">
      <text>
        <r>
          <rPr>
            <sz val="11"/>
            <rFont val="Calibri"/>
          </rPr>
          <t>The ESXi Image Profile and VIB Acceptance Levels must be verified.</t>
        </r>
      </text>
    </comment>
    <comment ref="I115" authorId="0" shapeId="0" xr:uid="{00000000-0006-0000-0700-000057000000}">
      <text>
        <r>
          <rPr>
            <sz val="11"/>
            <rFont val="Calibri"/>
          </rPr>
          <t>The ESXi host must verify the integrity of the installation media before installing ESXi.</t>
        </r>
      </text>
    </comment>
    <comment ref="J115" authorId="0" shapeId="0" xr:uid="{00000000-0006-0000-0700-000058000000}">
      <text>
        <r>
          <rPr>
            <sz val="11"/>
            <rFont val="Calibri"/>
          </rPr>
          <t>The ESXi host must enable Secure Boot.</t>
        </r>
      </text>
    </comment>
    <comment ref="K115" authorId="0" shapeId="0" xr:uid="{00000000-0006-0000-0700-000059000000}">
      <text>
        <r>
          <rPr>
            <sz val="11"/>
            <rFont val="Calibri"/>
          </rPr>
          <t>vCenter Server for Windows plugins must be verified.</t>
        </r>
      </text>
    </comment>
    <comment ref="H118" authorId="0" shapeId="0" xr:uid="{00000000-0006-0000-0700-00005A000000}">
      <text>
        <r>
          <rPr>
            <sz val="11"/>
            <rFont val="Calibri"/>
          </rPr>
          <t>The ESXi host must disable Inter-VM transparent page sharing.</t>
        </r>
      </text>
    </comment>
    <comment ref="I118" authorId="0" shapeId="0" xr:uid="{00000000-0006-0000-0700-00005B000000}">
      <text>
        <r>
          <rPr>
            <sz val="11"/>
            <rFont val="Calibri"/>
          </rPr>
          <t>Shared salt values must be disabled on the virtual machine.</t>
        </r>
      </text>
    </comment>
    <comment ref="H134" authorId="0" shapeId="0" xr:uid="{00000000-0006-0000-0700-00005C000000}">
      <text>
        <r>
          <rPr>
            <sz val="11"/>
            <rFont val="Calibri"/>
          </rPr>
          <t>The ESXi host must protect the confidentiality and integrity of transmitted information by isolating vMotion traffic.</t>
        </r>
      </text>
    </comment>
    <comment ref="I134" authorId="0" shapeId="0" xr:uid="{00000000-0006-0000-0700-00005D000000}">
      <text>
        <r>
          <rPr>
            <sz val="11"/>
            <rFont val="Calibri"/>
          </rPr>
          <t>The ESXi host must protect the confidentiality and integrity of transmitted information by protecting IP based management traffic.</t>
        </r>
      </text>
    </comment>
    <comment ref="J134" authorId="0" shapeId="0" xr:uid="{00000000-0006-0000-0700-00005E000000}">
      <text>
        <r>
          <rPr>
            <sz val="11"/>
            <rFont val="Calibri"/>
          </rPr>
          <t>The ESXi host must protect the confidentiality and integrity of transmitted information by utilizing different TCP/IP stacks where possible.</t>
        </r>
      </text>
    </comment>
    <comment ref="K134" authorId="0" shapeId="0" xr:uid="{00000000-0006-0000-0700-00005F000000}">
      <text>
        <r>
          <rPr>
            <sz val="11"/>
            <rFont val="Calibri"/>
          </rPr>
          <t>The ESXi host must configure the firewall to restrict access to services running on the host.</t>
        </r>
      </text>
    </comment>
    <comment ref="L134" authorId="0" shapeId="0" xr:uid="{00000000-0006-0000-0700-000060000000}">
      <text>
        <r>
          <rPr>
            <sz val="11"/>
            <rFont val="Calibri"/>
          </rPr>
          <t>The ESXi host must configure the firewall to block network traffic by default.</t>
        </r>
      </text>
    </comment>
    <comment ref="M134" authorId="0" shapeId="0" xr:uid="{00000000-0006-0000-0700-000061000000}">
      <text>
        <r>
          <rPr>
            <sz val="11"/>
            <rFont val="Calibri"/>
          </rPr>
          <t>The virtual switch Forged Transmits policy must be set to reject on the ESXi host.</t>
        </r>
      </text>
    </comment>
    <comment ref="N134" authorId="0" shapeId="0" xr:uid="{00000000-0006-0000-0700-000062000000}">
      <text>
        <r>
          <rPr>
            <sz val="11"/>
            <rFont val="Calibri"/>
          </rPr>
          <t>The virtual switch MAC Address Change policy must be set to reject on the ESXi host.</t>
        </r>
      </text>
    </comment>
    <comment ref="O134" authorId="0" shapeId="0" xr:uid="{00000000-0006-0000-0700-000063000000}">
      <text>
        <r>
          <rPr>
            <sz val="11"/>
            <rFont val="Calibri"/>
          </rPr>
          <t>The virtual switch Promiscuous Mode policy must be set to reject on the ESXi host.</t>
        </r>
      </text>
    </comment>
    <comment ref="P134" authorId="0" shapeId="0" xr:uid="{00000000-0006-0000-0700-000064000000}">
      <text>
        <r>
          <rPr>
            <sz val="11"/>
            <rFont val="Calibri"/>
          </rPr>
          <t>For the ESXi host all port groups must be configured to a value other than that of the native VLAN.</t>
        </r>
      </text>
    </comment>
    <comment ref="Q134" authorId="0" shapeId="0" xr:uid="{00000000-0006-0000-0700-000065000000}">
      <text>
        <r>
          <rPr>
            <sz val="11"/>
            <rFont val="Calibri"/>
          </rPr>
          <t>For the ESXi host all port groups must not be configured to VLAN 4095 unless Virtual Guest Tagging (VGT) is required.</t>
        </r>
      </text>
    </comment>
    <comment ref="R134" authorId="0" shapeId="0" xr:uid="{00000000-0006-0000-0700-000066000000}">
      <text>
        <r>
          <rPr>
            <sz val="11"/>
            <rFont val="Calibri"/>
          </rPr>
          <t>For the ESXi host all port groups must not be configured to VLAN values reserved by upstream physical switches.</t>
        </r>
      </text>
    </comment>
    <comment ref="S134" authorId="0" shapeId="0" xr:uid="{00000000-0006-0000-0700-000067000000}">
      <text>
        <r>
          <rPr>
            <sz val="11"/>
            <rFont val="Calibri"/>
          </rPr>
          <t>The vCenter Server for Windows must set the distributed port group Forged Transmits policy to reject.</t>
        </r>
      </text>
    </comment>
    <comment ref="T134" authorId="0" shapeId="0" xr:uid="{00000000-0006-0000-0700-000068000000}">
      <text>
        <r>
          <rPr>
            <sz val="11"/>
            <rFont val="Calibri"/>
          </rPr>
          <t>The vCenter Server for Windows must set the distributed port group MAC Address Change policy to reject.</t>
        </r>
      </text>
    </comment>
    <comment ref="U134" authorId="0" shapeId="0" xr:uid="{00000000-0006-0000-0700-000069000000}">
      <text>
        <r>
          <rPr>
            <sz val="11"/>
            <rFont val="Calibri"/>
          </rPr>
          <t>The vCenter Server for Windows must set the distributed port group Promiscuous Mode policy to reject.</t>
        </r>
      </text>
    </comment>
    <comment ref="V134" authorId="0" shapeId="0" xr:uid="{00000000-0006-0000-0700-00006A000000}">
      <text>
        <r>
          <rPr>
            <sz val="11"/>
            <rFont val="Calibri"/>
          </rPr>
          <t>The vCenter Server for Windows must configure all port groups to a value other than that of the native VLAN.</t>
        </r>
      </text>
    </comment>
    <comment ref="W134" authorId="0" shapeId="0" xr:uid="{00000000-0006-0000-0700-00006B000000}">
      <text>
        <r>
          <rPr>
            <sz val="11"/>
            <rFont val="Calibri"/>
          </rPr>
          <t>The vCenter Server for Windows must configure all port groups to VLAN 4095 unless Virtual Guest Tagging (VGT) is required.</t>
        </r>
      </text>
    </comment>
    <comment ref="X134" authorId="0" shapeId="0" xr:uid="{00000000-0006-0000-0700-00006C000000}">
      <text>
        <r>
          <rPr>
            <sz val="11"/>
            <rFont val="Calibri"/>
          </rPr>
          <t>The vCenter Server for Windows must not configure all port groups to VLAN values reserved by upstream physical switches.</t>
        </r>
      </text>
    </comment>
    <comment ref="Y134" authorId="0" shapeId="0" xr:uid="{00000000-0006-0000-0700-00006D000000}">
      <text>
        <r>
          <rPr>
            <sz val="11"/>
            <rFont val="Calibri"/>
          </rPr>
          <t>The vCenter Server for Windows must restrict the connectivity between Update Manager and public patch repositories by use of a separate Update Manager Download Server.</t>
        </r>
      </text>
    </comment>
    <comment ref="Z134" authorId="0" shapeId="0" xr:uid="{00000000-0006-0000-0700-00006E000000}">
      <text>
        <r>
          <rPr>
            <sz val="11"/>
            <rFont val="Calibri"/>
          </rPr>
          <t>The vCenter Server for Windows must protect the confidentiality and integrity of transmitted information by isolating IP-based storage traffic.</t>
        </r>
      </text>
    </comment>
    <comment ref="AA134" authorId="0" shapeId="0" xr:uid="{00000000-0006-0000-0700-00006F000000}">
      <text>
        <r>
          <rPr>
            <sz val="11"/>
            <rFont val="Calibri"/>
          </rPr>
          <t>The vCenter Server for Windows must disable or restrict the connectivity between vSAN Health Check and public Hardware Compatibility List by use of an external proxy server.</t>
        </r>
      </text>
    </comment>
    <comment ref="H142" authorId="0" shapeId="0" xr:uid="{00000000-0006-0000-0700-000070000000}">
      <text>
        <r>
          <rPr>
            <sz val="11"/>
            <rFont val="Calibri"/>
          </rPr>
          <t>The ESXi host SSH daemon must be configured to use only the SSHv2 protocol.</t>
        </r>
      </text>
    </comment>
    <comment ref="I142" authorId="0" shapeId="0" xr:uid="{00000000-0006-0000-0700-00007D000000}">
      <text>
        <r>
          <rPr>
            <sz val="11"/>
            <rFont val="Calibri"/>
          </rPr>
          <t>The ESXi host SSH daemon must ignore .rhosts files.</t>
        </r>
      </text>
    </comment>
    <comment ref="J142" authorId="0" shapeId="0" xr:uid="{00000000-0006-0000-0700-00007E000000}">
      <text>
        <r>
          <rPr>
            <sz val="11"/>
            <rFont val="Calibri"/>
          </rPr>
          <t>The ESXi host SSH daemon must not allow host-based authentication.</t>
        </r>
      </text>
    </comment>
    <comment ref="K142" authorId="0" shapeId="0" xr:uid="{00000000-0006-0000-0700-00007F000000}">
      <text>
        <r>
          <rPr>
            <sz val="11"/>
            <rFont val="Calibri"/>
          </rPr>
          <t>The ESXi host SSH daemon must not permit user environment settings.</t>
        </r>
      </text>
    </comment>
    <comment ref="L142" authorId="0" shapeId="0" xr:uid="{00000000-0006-0000-0700-000080000000}">
      <text>
        <r>
          <rPr>
            <sz val="11"/>
            <rFont val="Calibri"/>
          </rPr>
          <t>The ESXi host SSH daemon must not permit GSSAPI authentication.</t>
        </r>
      </text>
    </comment>
    <comment ref="M142" authorId="0" shapeId="0" xr:uid="{00000000-0006-0000-0700-000081000000}">
      <text>
        <r>
          <rPr>
            <sz val="11"/>
            <rFont val="Calibri"/>
          </rPr>
          <t>The ESXi host SSH daemon must not permit Kerberos authentication.</t>
        </r>
      </text>
    </comment>
    <comment ref="N142" authorId="0" shapeId="0" xr:uid="{00000000-0006-0000-0700-000082000000}">
      <text>
        <r>
          <rPr>
            <sz val="11"/>
            <rFont val="Calibri"/>
          </rPr>
          <t>The ESXi host SSH daemon must perform strict mode checking of home directory configuration files.</t>
        </r>
      </text>
    </comment>
    <comment ref="O142" authorId="0" shapeId="0" xr:uid="{00000000-0006-0000-0700-000083000000}">
      <text>
        <r>
          <rPr>
            <sz val="11"/>
            <rFont val="Calibri"/>
          </rPr>
          <t>The ESXi host SSH daemon must not allow compression or must only allow compression after successful authentication.</t>
        </r>
      </text>
    </comment>
    <comment ref="P142" authorId="0" shapeId="0" xr:uid="{00000000-0006-0000-0700-000084000000}">
      <text>
        <r>
          <rPr>
            <sz val="11"/>
            <rFont val="Calibri"/>
          </rPr>
          <t>The ESXi host SSH daemon must be configured to not allow gateway ports.</t>
        </r>
      </text>
    </comment>
    <comment ref="Q142" authorId="0" shapeId="0" xr:uid="{00000000-0006-0000-0700-000085000000}">
      <text>
        <r>
          <rPr>
            <sz val="11"/>
            <rFont val="Calibri"/>
          </rPr>
          <t>The ESXi host SSH daemon must be configured to not allow X11 forwarding.</t>
        </r>
      </text>
    </comment>
    <comment ref="R142" authorId="0" shapeId="0" xr:uid="{00000000-0006-0000-0700-000086000000}">
      <text>
        <r>
          <rPr>
            <sz val="11"/>
            <rFont val="Calibri"/>
          </rPr>
          <t>The ESXi host SSH daemon must not accept environment variables from the client.</t>
        </r>
      </text>
    </comment>
    <comment ref="S142" authorId="0" shapeId="0" xr:uid="{00000000-0006-0000-0700-000087000000}">
      <text>
        <r>
          <rPr>
            <sz val="11"/>
            <rFont val="Calibri"/>
          </rPr>
          <t>The ESXi host SSH daemon must not permit tunnels.</t>
        </r>
      </text>
    </comment>
    <comment ref="T142" authorId="0" shapeId="0" xr:uid="{00000000-0006-0000-0700-000088000000}">
      <text>
        <r>
          <rPr>
            <sz val="11"/>
            <rFont val="Calibri"/>
          </rPr>
          <t>The ESXi host SSH daemon must limit connections to a single session.</t>
        </r>
      </text>
    </comment>
    <comment ref="U142" authorId="0" shapeId="0" xr:uid="{00000000-0006-0000-0700-000089000000}">
      <text>
        <r>
          <rPr>
            <sz val="11"/>
            <rFont val="Calibri"/>
          </rPr>
          <t>The ESXi host must disable the Managed Object Browser (MOB).</t>
        </r>
      </text>
    </comment>
    <comment ref="V142" authorId="0" shapeId="0" xr:uid="{00000000-0006-0000-0700-00008A000000}">
      <text>
        <r>
          <rPr>
            <sz val="11"/>
            <rFont val="Calibri"/>
          </rPr>
          <t>The ESXi host must be configured to disable non-essential capabilities by disabling SSH.</t>
        </r>
      </text>
    </comment>
    <comment ref="W142" authorId="0" shapeId="0" xr:uid="{00000000-0006-0000-0700-00008B000000}">
      <text>
        <r>
          <rPr>
            <sz val="11"/>
            <rFont val="Calibri"/>
          </rPr>
          <t>The ESXi host must disable ESXi Shell unless needed for diagnostics or troubleshooting.</t>
        </r>
      </text>
    </comment>
    <comment ref="X142" authorId="0" shapeId="0" xr:uid="{00000000-0006-0000-0700-00008C000000}">
      <text>
        <r>
          <rPr>
            <sz val="11"/>
            <rFont val="Calibri"/>
          </rPr>
          <t>SNMP must be configured properly on the ESXi host.</t>
        </r>
      </text>
    </comment>
    <comment ref="Y142" authorId="0" shapeId="0" xr:uid="{00000000-0006-0000-0700-00008D000000}">
      <text>
        <r>
          <rPr>
            <sz val="11"/>
            <rFont val="Calibri"/>
          </rPr>
          <t>The ESXi host must enable BPDU filter on the host to prevent being locked out of physical switch ports with Portfast and BPDU Guard enabled.</t>
        </r>
      </text>
    </comment>
    <comment ref="Z142" authorId="0" shapeId="0" xr:uid="{00000000-0006-0000-0700-00008E000000}">
      <text>
        <r>
          <rPr>
            <sz val="11"/>
            <rFont val="Calibri"/>
          </rPr>
          <t>The ESXi host must prevent unintended use of the dvFilter network APIs.</t>
        </r>
      </text>
    </comment>
    <comment ref="AA142" authorId="0" shapeId="0" xr:uid="{00000000-0006-0000-0700-00008F000000}">
      <text>
        <r>
          <rPr>
            <sz val="11"/>
            <rFont val="Calibri"/>
          </rPr>
          <t>For physical switch ports connected to the ESXi host, the non-negotiate option must be configured for trunk links between external physical switches and virtual switches in VST mode.</t>
        </r>
      </text>
    </comment>
    <comment ref="AB142" authorId="0" shapeId="0" xr:uid="{00000000-0006-0000-0700-000090000000}">
      <text>
        <r>
          <rPr>
            <sz val="11"/>
            <rFont val="Calibri"/>
          </rPr>
          <t>All ESXi host-connected physical switch ports must be configured with spanning tree disabled.</t>
        </r>
      </text>
    </comment>
    <comment ref="AC142" authorId="0" shapeId="0" xr:uid="{00000000-0006-0000-0700-000091000000}">
      <text>
        <r>
          <rPr>
            <sz val="11"/>
            <rFont val="Calibri"/>
          </rPr>
          <t>The vCenter Server for Windows must disable the distributed virtual switch health check.</t>
        </r>
      </text>
    </comment>
    <comment ref="AD142" authorId="0" shapeId="0" xr:uid="{00000000-0006-0000-0700-000092000000}">
      <text>
        <r>
          <rPr>
            <sz val="11"/>
            <rFont val="Calibri"/>
          </rPr>
          <t>The vCenter Server for Windows must not override port group settings at the port level on distributed switches.</t>
        </r>
      </text>
    </comment>
    <comment ref="AE142" authorId="0" shapeId="0" xr:uid="{00000000-0006-0000-0700-000093000000}">
      <text>
        <r>
          <rPr>
            <sz val="11"/>
            <rFont val="Calibri"/>
          </rPr>
          <t>The vCenter Server for Windows must disable the managed object browser at all times, when not required for the purpose of troubleshooting or maintenance of managed objects.</t>
        </r>
      </text>
    </comment>
    <comment ref="AF142" authorId="0" shapeId="0" xr:uid="{00000000-0006-0000-0700-000094000000}">
      <text>
        <r>
          <rPr>
            <sz val="11"/>
            <rFont val="Calibri"/>
          </rPr>
          <t>The vCenter Server for Windows must configure the vSAN Datastore name to a unique name.</t>
        </r>
      </text>
    </comment>
    <comment ref="AG142" authorId="0" shapeId="0" xr:uid="{00000000-0006-0000-0700-000095000000}">
      <text>
        <r>
          <rPr>
            <sz val="11"/>
            <rFont val="Calibri"/>
          </rPr>
          <t>The vCenter Server for Windows must disable Password and Windows integrated authentication.</t>
        </r>
      </text>
    </comment>
    <comment ref="AH142" authorId="0" shapeId="0" xr:uid="{00000000-0006-0000-0700-000096000000}">
      <text>
        <r>
          <rPr>
            <sz val="11"/>
            <rFont val="Calibri"/>
          </rPr>
          <t>The vCenter Server for Windows must disable SNMPv1.</t>
        </r>
      </text>
    </comment>
    <comment ref="AI142" authorId="0" shapeId="0" xr:uid="{00000000-0006-0000-0700-000097000000}">
      <text>
        <r>
          <rPr>
            <sz val="11"/>
            <rFont val="Calibri"/>
          </rPr>
          <t>Virtual disk shrinking must be disabled on the virtual machine.</t>
        </r>
      </text>
    </comment>
    <comment ref="AJ142" authorId="0" shapeId="0" xr:uid="{00000000-0006-0000-0700-000071000000}">
      <text>
        <r>
          <rPr>
            <sz val="11"/>
            <rFont val="Calibri"/>
          </rPr>
          <t>Virtual disk erasure must be disabled on the virtual machine.</t>
        </r>
      </text>
    </comment>
    <comment ref="AK142" authorId="0" shapeId="0" xr:uid="{00000000-0006-0000-0700-000072000000}">
      <text>
        <r>
          <rPr>
            <sz val="11"/>
            <rFont val="Calibri"/>
          </rPr>
          <t>The unexposed feature keyword isolation.tools.ghi.autologon.disable must be set on the virtual machine.</t>
        </r>
      </text>
    </comment>
    <comment ref="AL142" authorId="0" shapeId="0" xr:uid="{00000000-0006-0000-0700-000073000000}">
      <text>
        <r>
          <rPr>
            <sz val="11"/>
            <rFont val="Calibri"/>
          </rPr>
          <t>The unexposed feature keyword isolation.tools.ghi.launchmenu.change must be set on the virtual machine.</t>
        </r>
      </text>
    </comment>
    <comment ref="AM142" authorId="0" shapeId="0" xr:uid="{00000000-0006-0000-0700-000074000000}">
      <text>
        <r>
          <rPr>
            <sz val="11"/>
            <rFont val="Calibri"/>
          </rPr>
          <t>The unexposed feature keyword isolation.tools.memSchedFakeSampleStats.disable must be set on the virtual machine.</t>
        </r>
      </text>
    </comment>
    <comment ref="AN142" authorId="0" shapeId="0" xr:uid="{00000000-0006-0000-0700-000075000000}">
      <text>
        <r>
          <rPr>
            <sz val="11"/>
            <rFont val="Calibri"/>
          </rPr>
          <t>The unexposed feature keyword isolation.tools.ghi.protocolhandler.info.disable must be set on the virtual machine.</t>
        </r>
      </text>
    </comment>
    <comment ref="AO142" authorId="0" shapeId="0" xr:uid="{00000000-0006-0000-0700-000076000000}">
      <text>
        <r>
          <rPr>
            <sz val="11"/>
            <rFont val="Calibri"/>
          </rPr>
          <t>The unexposed feature keyword isolation.ghi.host.shellAction.disable must be set on the virtual machine.</t>
        </r>
      </text>
    </comment>
    <comment ref="AP142" authorId="0" shapeId="0" xr:uid="{00000000-0006-0000-0700-000077000000}">
      <text>
        <r>
          <rPr>
            <sz val="11"/>
            <rFont val="Calibri"/>
          </rPr>
          <t>The unexposed feature keyword isolation.tools.ghi.trayicon.disable must be set on the virtual machine.</t>
        </r>
      </text>
    </comment>
    <comment ref="AQ142" authorId="0" shapeId="0" xr:uid="{00000000-0006-0000-0700-000078000000}">
      <text>
        <r>
          <rPr>
            <sz val="11"/>
            <rFont val="Calibri"/>
          </rPr>
          <t>The unexposed feature keyword isolation.tools.unity.disable must be set on the virtual machine.</t>
        </r>
      </text>
    </comment>
    <comment ref="AR142" authorId="0" shapeId="0" xr:uid="{00000000-0006-0000-0700-000079000000}">
      <text>
        <r>
          <rPr>
            <sz val="11"/>
            <rFont val="Calibri"/>
          </rPr>
          <t>The unexposed feature keyword isolation.tools.unityInterlockOperation.disable must be set on the virtual machine.</t>
        </r>
      </text>
    </comment>
    <comment ref="AS142" authorId="0" shapeId="0" xr:uid="{00000000-0006-0000-0700-00007A000000}">
      <text>
        <r>
          <rPr>
            <sz val="11"/>
            <rFont val="Calibri"/>
          </rPr>
          <t>The unexposed feature keyword isolation.tools.unity.push.update.disable must be set on the virtual machine.</t>
        </r>
      </text>
    </comment>
    <comment ref="AT142" authorId="0" shapeId="0" xr:uid="{00000000-0006-0000-0700-00007B000000}">
      <text>
        <r>
          <rPr>
            <sz val="11"/>
            <rFont val="Calibri"/>
          </rPr>
          <t>The unexposed feature keyword isolation.tools.unity.taskbar.disable must be set on the virtual machine.</t>
        </r>
      </text>
    </comment>
    <comment ref="AU142" authorId="0" shapeId="0" xr:uid="{00000000-0006-0000-0700-00007C000000}">
      <text>
        <r>
          <rPr>
            <sz val="11"/>
            <rFont val="Calibri"/>
          </rPr>
          <t>The unexposed feature keyword isolation.tools.unityActive.disable must be set on the virtual machine.</t>
        </r>
      </text>
    </comment>
    <comment ref="H143" authorId="0" shapeId="0" xr:uid="{00000000-0006-0000-0700-000098000000}">
      <text>
        <r>
          <rPr>
            <sz val="11"/>
            <rFont val="Calibri"/>
          </rPr>
          <t>The ESXi host must have all security patches and updates installed.</t>
        </r>
      </text>
    </comment>
    <comment ref="H145" authorId="0" shapeId="0" xr:uid="{00000000-0006-0000-0700-000099000000}">
      <text>
        <r>
          <rPr>
            <sz val="11"/>
            <rFont val="Calibri"/>
          </rPr>
          <t>Remote logging for ESXi hosts must be configured.</t>
        </r>
      </text>
    </comment>
    <comment ref="I145" authorId="0" shapeId="0" xr:uid="{00000000-0006-0000-0700-00009A000000}">
      <text>
        <r>
          <rPr>
            <sz val="11"/>
            <rFont val="Calibri"/>
          </rPr>
          <t>The ESXi host must produce audit records containing information to establish what type of events occurred.</t>
        </r>
      </text>
    </comment>
    <comment ref="J145" authorId="0" shapeId="0" xr:uid="{00000000-0006-0000-0700-00009B000000}">
      <text>
        <r>
          <rPr>
            <sz val="11"/>
            <rFont val="Calibri"/>
          </rPr>
          <t>The ESXi host must enable a persistent log location for all locally stored logs.</t>
        </r>
      </text>
    </comment>
    <comment ref="K145" authorId="0" shapeId="0" xr:uid="{00000000-0006-0000-0700-00009C000000}">
      <text>
        <r>
          <rPr>
            <sz val="11"/>
            <rFont val="Calibri"/>
          </rPr>
          <t>The ESXi host must configure NTP time synchronization.</t>
        </r>
      </text>
    </comment>
    <comment ref="L145" authorId="0" shapeId="0" xr:uid="{00000000-0006-0000-0700-00009D000000}">
      <text>
        <r>
          <rPr>
            <sz val="11"/>
            <rFont val="Calibri"/>
          </rPr>
          <t>The vCenter Server for Windows must produce audit records containing information to establish what type of events occurred.</t>
        </r>
      </text>
    </comment>
    <comment ref="M145" authorId="0" shapeId="0" xr:uid="{00000000-0006-0000-0700-00009E000000}">
      <text>
        <r>
          <rPr>
            <sz val="11"/>
            <rFont val="Calibri"/>
          </rPr>
          <t>Independent, non-persistent disks must be not be used on the virtual machine.</t>
        </r>
      </text>
    </comment>
    <comment ref="H161" authorId="0" shapeId="0" xr:uid="{00000000-0006-0000-0700-00009F000000}">
      <text>
        <r>
          <rPr>
            <sz val="11"/>
            <rFont val="Calibri"/>
          </rPr>
          <t>The vCenter Server for Windows must provide an immediate real-time alert to the SA and ISSO, at a minimum, of all audit failure events.</t>
        </r>
      </text>
    </comment>
    <comment ref="I161" authorId="0" shapeId="0" xr:uid="{00000000-0006-0000-0700-0000A0000000}">
      <text>
        <r>
          <rPr>
            <sz val="11"/>
            <rFont val="Calibri"/>
          </rPr>
          <t>The vCenter Server for Windows must alert administrators on permission creation operations.</t>
        </r>
      </text>
    </comment>
    <comment ref="J161" authorId="0" shapeId="0" xr:uid="{00000000-0006-0000-0700-0000A1000000}">
      <text>
        <r>
          <rPr>
            <sz val="11"/>
            <rFont val="Calibri"/>
          </rPr>
          <t>The vCenter Server for Windows must alert administrators on permission deletion operations.</t>
        </r>
      </text>
    </comment>
    <comment ref="K161" authorId="0" shapeId="0" xr:uid="{00000000-0006-0000-0700-0000A2000000}">
      <text>
        <r>
          <rPr>
            <sz val="11"/>
            <rFont val="Calibri"/>
          </rPr>
          <t>The vCenter Server for Windows must alert administrators on permission update operations.</t>
        </r>
      </text>
    </comment>
    <comment ref="H167" authorId="0" shapeId="0" xr:uid="{00000000-0006-0000-0700-0000A3000000}">
      <text>
        <r>
          <rPr>
            <sz val="11"/>
            <rFont val="Calibri"/>
          </rPr>
          <t>The vCenter Server for Windows must enable all tasks to be shown to Administrators in the Web Client.</t>
        </r>
      </text>
    </comment>
    <comment ref="I167" authorId="0" shapeId="0" xr:uid="{00000000-0006-0000-0700-0000A4000000}">
      <text>
        <r>
          <rPr>
            <sz val="11"/>
            <rFont val="Calibri"/>
          </rPr>
          <t>The vCenter Server for Windows must alert administrators on permission creation operations.</t>
        </r>
      </text>
    </comment>
    <comment ref="J167" authorId="0" shapeId="0" xr:uid="{00000000-0006-0000-0700-0000A5000000}">
      <text>
        <r>
          <rPr>
            <sz val="11"/>
            <rFont val="Calibri"/>
          </rPr>
          <t>The vCenter Server for Windows must alert administrators on permission deletion operations.</t>
        </r>
      </text>
    </comment>
    <comment ref="K167" authorId="0" shapeId="0" xr:uid="{00000000-0006-0000-0700-0000A6000000}">
      <text>
        <r>
          <rPr>
            <sz val="11"/>
            <rFont val="Calibri"/>
          </rPr>
          <t>The vCenter Server for Windows must alert administrators on permission update operations.</t>
        </r>
      </text>
    </comment>
    <comment ref="H173" authorId="0" shapeId="0" xr:uid="{00000000-0006-0000-0700-0000A7000000}">
      <text>
        <r>
          <rPr>
            <sz val="11"/>
            <rFont val="Calibri"/>
          </rPr>
          <t>The vCenter Server for Windows must enable the vSAN Health Check.</t>
        </r>
      </text>
    </comment>
    <comment ref="H184" authorId="0" shapeId="0" xr:uid="{00000000-0006-0000-0700-0000A8000000}">
      <text>
        <r>
          <rPr>
            <sz val="11"/>
            <rFont val="Calibri"/>
          </rPr>
          <t>The ESXi host must enable kernel core dumps.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ESXi host must configure the firewall to restrict access to services running on the host.</t>
        </r>
      </text>
    </comment>
    <comment ref="G46" authorId="0" shapeId="0" xr:uid="{00000000-0006-0000-0800-000002000000}">
      <text>
        <r>
          <rPr>
            <sz val="11"/>
            <rFont val="Calibri"/>
          </rPr>
          <t>The ESXi host must configure the firewall to block network traffic by default.</t>
        </r>
      </text>
    </comment>
    <comment ref="G52" authorId="0" shapeId="0" xr:uid="{00000000-0006-0000-0800-000003000000}">
      <text>
        <r>
          <rPr>
            <sz val="11"/>
            <rFont val="Calibri"/>
          </rPr>
          <t>The ESXi host SSH daemon must be configured to use only the SSHv2 protocol.</t>
        </r>
      </text>
    </comment>
    <comment ref="H52" authorId="0" shapeId="0" xr:uid="{00000000-0006-0000-0800-000010000000}">
      <text>
        <r>
          <rPr>
            <sz val="11"/>
            <rFont val="Calibri"/>
          </rPr>
          <t>The ESXi host SSH daemon must ignore .rhosts files.</t>
        </r>
      </text>
    </comment>
    <comment ref="I52" authorId="0" shapeId="0" xr:uid="{00000000-0006-0000-0800-000004000000}">
      <text>
        <r>
          <rPr>
            <sz val="11"/>
            <rFont val="Calibri"/>
          </rPr>
          <t>The ESXi host SSH daemon must not allow host-based authentication.</t>
        </r>
      </text>
    </comment>
    <comment ref="J52" authorId="0" shapeId="0" xr:uid="{00000000-0006-0000-0800-000005000000}">
      <text>
        <r>
          <rPr>
            <sz val="11"/>
            <rFont val="Calibri"/>
          </rPr>
          <t>The ESXi host SSH daemon must not permit GSSAPI authentication.</t>
        </r>
      </text>
    </comment>
    <comment ref="K52" authorId="0" shapeId="0" xr:uid="{00000000-0006-0000-0800-000006000000}">
      <text>
        <r>
          <rPr>
            <sz val="11"/>
            <rFont val="Calibri"/>
          </rPr>
          <t>The ESXi host SSH daemon must not permit Kerberos authentication.</t>
        </r>
      </text>
    </comment>
    <comment ref="L52" authorId="0" shapeId="0" xr:uid="{00000000-0006-0000-0800-000007000000}">
      <text>
        <r>
          <rPr>
            <sz val="11"/>
            <rFont val="Calibri"/>
          </rPr>
          <t>The ESXi host SSH daemon must be configured to not allow gateway ports.</t>
        </r>
      </text>
    </comment>
    <comment ref="M52" authorId="0" shapeId="0" xr:uid="{00000000-0006-0000-0800-000008000000}">
      <text>
        <r>
          <rPr>
            <sz val="11"/>
            <rFont val="Calibri"/>
          </rPr>
          <t>The ESXi host SSH daemon must be configured to not allow X11 forwarding.</t>
        </r>
      </text>
    </comment>
    <comment ref="N52" authorId="0" shapeId="0" xr:uid="{00000000-0006-0000-0800-000009000000}">
      <text>
        <r>
          <rPr>
            <sz val="11"/>
            <rFont val="Calibri"/>
          </rPr>
          <t>The ESXi host SSH daemon must not permit tunnels.</t>
        </r>
      </text>
    </comment>
    <comment ref="O52" authorId="0" shapeId="0" xr:uid="{00000000-0006-0000-0800-00000A000000}">
      <text>
        <r>
          <rPr>
            <sz val="11"/>
            <rFont val="Calibri"/>
          </rPr>
          <t>The ESXi host must disable the Managed Object Browser (MOB).</t>
        </r>
      </text>
    </comment>
    <comment ref="P52" authorId="0" shapeId="0" xr:uid="{00000000-0006-0000-0800-00000B000000}">
      <text>
        <r>
          <rPr>
            <sz val="11"/>
            <rFont val="Calibri"/>
          </rPr>
          <t>The ESXi host must be configured to disable non-essential capabilities by disabling SSH.</t>
        </r>
      </text>
    </comment>
    <comment ref="Q52" authorId="0" shapeId="0" xr:uid="{00000000-0006-0000-0800-00000C000000}">
      <text>
        <r>
          <rPr>
            <sz val="11"/>
            <rFont val="Calibri"/>
          </rPr>
          <t>The ESXi host must disable ESXi Shell unless needed for diagnostics or troubleshooting.</t>
        </r>
      </text>
    </comment>
    <comment ref="R52" authorId="0" shapeId="0" xr:uid="{00000000-0006-0000-0800-00000D000000}">
      <text>
        <r>
          <rPr>
            <sz val="11"/>
            <rFont val="Calibri"/>
          </rPr>
          <t>The vCenter Server for Windows must disable the managed object browser at all times, when not required for the purpose of troubleshooting or maintenance of managed objects.</t>
        </r>
      </text>
    </comment>
    <comment ref="S52" authorId="0" shapeId="0" xr:uid="{00000000-0006-0000-0800-00000E000000}">
      <text>
        <r>
          <rPr>
            <sz val="11"/>
            <rFont val="Calibri"/>
          </rPr>
          <t>The vCenter Server for Windows must disable SNMPv1.</t>
        </r>
      </text>
    </comment>
    <comment ref="T52" authorId="0" shapeId="0" xr:uid="{00000000-0006-0000-0800-00000F000000}">
      <text>
        <r>
          <rPr>
            <sz val="11"/>
            <rFont val="Calibri"/>
          </rPr>
          <t>Console access through the VNC protocol must be disabled on the virtual machine.</t>
        </r>
      </text>
    </comment>
    <comment ref="G63" authorId="0" shapeId="0" xr:uid="{00000000-0006-0000-0800-000011000000}">
      <text>
        <r>
          <rPr>
            <sz val="11"/>
            <rFont val="Calibri"/>
          </rPr>
          <t>The ESXi host must have all security patches and updates installed.</t>
        </r>
      </text>
    </comment>
    <comment ref="G71" authorId="0" shapeId="0" xr:uid="{00000000-0006-0000-0800-000012000000}">
      <text>
        <r>
          <rPr>
            <sz val="11"/>
            <rFont val="Calibri"/>
          </rPr>
          <t>The ESXi host must have all security patches and updates installed.</t>
        </r>
      </text>
    </comment>
    <comment ref="G81" authorId="0" shapeId="0" xr:uid="{00000000-0006-0000-0800-000013000000}">
      <text>
        <r>
          <rPr>
            <sz val="11"/>
            <rFont val="Calibri"/>
          </rPr>
          <t>The ESXi host must use Active Directory for local user authentication.</t>
        </r>
      </text>
    </comment>
    <comment ref="H81" authorId="0" shapeId="0" xr:uid="{00000000-0006-0000-0800-000014000000}">
      <text>
        <r>
          <rPr>
            <sz val="11"/>
            <rFont val="Calibri"/>
          </rPr>
          <t>The ESXi host must require individuals to be authenticated with an individual authenticator prior to using a group authenticator by using Active Directory for local user authentication.</t>
        </r>
      </text>
    </comment>
    <comment ref="I81" authorId="0" shapeId="0" xr:uid="{00000000-0006-0000-0800-000015000000}">
      <text>
        <r>
          <rPr>
            <sz val="11"/>
            <rFont val="Calibri"/>
          </rPr>
          <t>The vCenter Server for Windows must use Active Directory authentication.</t>
        </r>
      </text>
    </comment>
    <comment ref="J81" authorId="0" shapeId="0" xr:uid="{00000000-0006-0000-0800-000016000000}">
      <text>
        <r>
          <rPr>
            <sz val="11"/>
            <rFont val="Calibri"/>
          </rPr>
          <t>The vCenter Server for Windows must use unique service accounts when applications connect to vCenter.</t>
        </r>
      </text>
    </comment>
    <comment ref="G83" authorId="0" shapeId="0" xr:uid="{00000000-0006-0000-0800-000017000000}">
      <text>
        <r>
          <rPr>
            <sz val="11"/>
            <rFont val="Calibri"/>
          </rPr>
          <t>The ESXi host must limit the number of concurrent sessions to ten for all accounts and/or account types by enabling lockdown mode.</t>
        </r>
      </text>
    </comment>
    <comment ref="H83" authorId="0" shapeId="0" xr:uid="{00000000-0006-0000-0800-000018000000}">
      <text>
        <r>
          <rPr>
            <sz val="11"/>
            <rFont val="Calibri"/>
          </rPr>
          <t>The vCenter Server for Windows users must have the correct roles assigned.</t>
        </r>
      </text>
    </comment>
    <comment ref="I83" authorId="0" shapeId="0" xr:uid="{00000000-0006-0000-0800-000019000000}">
      <text>
        <r>
          <rPr>
            <sz val="11"/>
            <rFont val="Calibri"/>
          </rPr>
          <t>The vCenter Server for Windows users must have the correct roles assigned.</t>
        </r>
      </text>
    </comment>
    <comment ref="J83" authorId="0" shapeId="0" xr:uid="{00000000-0006-0000-0800-00001A000000}">
      <text>
        <r>
          <rPr>
            <sz val="11"/>
            <rFont val="Calibri"/>
          </rPr>
          <t>The vCenter Server for Windows users must have the correct roles assigned.</t>
        </r>
      </text>
    </comment>
    <comment ref="K83" authorId="0" shapeId="0" xr:uid="{00000000-0006-0000-0800-00001B000000}">
      <text>
        <r>
          <rPr>
            <sz val="11"/>
            <rFont val="Calibri"/>
          </rPr>
          <t>Use of the virtual machine console must be minimized.</t>
        </r>
      </text>
    </comment>
    <comment ref="G85" authorId="0" shapeId="0" xr:uid="{00000000-0006-0000-0800-00001C000000}">
      <text>
        <r>
          <rPr>
            <sz val="11"/>
            <rFont val="Calibri"/>
          </rPr>
          <t>The vCenter Server for Windows must minimize access to the vCenter server.</t>
        </r>
      </text>
    </comment>
    <comment ref="G86" authorId="0" shapeId="0" xr:uid="{00000000-0006-0000-0800-00001D000000}">
      <text>
        <r>
          <rPr>
            <sz val="11"/>
            <rFont val="Calibri"/>
          </rPr>
          <t>The ESXi host SSH daemon must not permit root logins.</t>
        </r>
      </text>
    </comment>
    <comment ref="H86" authorId="0" shapeId="0" xr:uid="{00000000-0006-0000-0800-00001E000000}">
      <text>
        <r>
          <rPr>
            <sz val="11"/>
            <rFont val="Calibri"/>
          </rPr>
          <t>The vCenter Server for Windows must limit the use of the built-in SSO administrative account.</t>
        </r>
      </text>
    </comment>
    <comment ref="I86" authorId="0" shapeId="0" xr:uid="{00000000-0006-0000-0800-00001F000000}">
      <text>
        <r>
          <rPr>
            <sz val="11"/>
            <rFont val="Calibri"/>
          </rPr>
          <t>The vCenter Server for Windows Administrator role must be secured and assigned to specific users other than a Windows Administrator.</t>
        </r>
      </text>
    </comment>
    <comment ref="G91" authorId="0" shapeId="0" xr:uid="{00000000-0006-0000-0800-000020000000}">
      <text>
        <r>
          <rPr>
            <sz val="11"/>
            <rFont val="Calibri"/>
          </rPr>
          <t>The ESXi host must prohibit the reuse of passwords within five iterations.</t>
        </r>
      </text>
    </comment>
    <comment ref="H91" authorId="0" shapeId="0" xr:uid="{00000000-0006-0000-0800-000021000000}">
      <text>
        <r>
          <rPr>
            <sz val="11"/>
            <rFont val="Calibri"/>
          </rPr>
          <t>The vCenter Server for Windows must prohibit password reuse for a minimum of five generations.</t>
        </r>
      </text>
    </comment>
    <comment ref="I91" authorId="0" shapeId="0" xr:uid="{00000000-0006-0000-0800-000022000000}">
      <text>
        <r>
          <rPr>
            <sz val="11"/>
            <rFont val="Calibri"/>
          </rPr>
          <t>The vCenter Server for Windows must enforce a 60-day maximum password lifetime restriction.</t>
        </r>
      </text>
    </comment>
    <comment ref="G92" authorId="0" shapeId="0" xr:uid="{00000000-0006-0000-0800-000023000000}">
      <text>
        <r>
          <rPr>
            <sz val="11"/>
            <rFont val="Calibri"/>
          </rPr>
          <t>The ESXi host  must enforce password complexity by requiring that at least one upper-case character be used.</t>
        </r>
      </text>
    </comment>
    <comment ref="H92" authorId="0" shapeId="0" xr:uid="{00000000-0006-0000-0800-000024000000}">
      <text>
        <r>
          <rPr>
            <sz val="11"/>
            <rFont val="Calibri"/>
          </rPr>
          <t>The vCenter Server for Windows passwords must be at least 15 characters in length.</t>
        </r>
      </text>
    </comment>
    <comment ref="I92" authorId="0" shapeId="0" xr:uid="{00000000-0006-0000-0800-000025000000}">
      <text>
        <r>
          <rPr>
            <sz val="11"/>
            <rFont val="Calibri"/>
          </rPr>
          <t>The vCenter Server for Windows passwords must contain at least one uppercase character.</t>
        </r>
      </text>
    </comment>
    <comment ref="J92" authorId="0" shapeId="0" xr:uid="{00000000-0006-0000-0800-000026000000}">
      <text>
        <r>
          <rPr>
            <sz val="11"/>
            <rFont val="Calibri"/>
          </rPr>
          <t>The vCenter Server for Windows passwords must contain at least one lowercase character.</t>
        </r>
      </text>
    </comment>
    <comment ref="K92" authorId="0" shapeId="0" xr:uid="{00000000-0006-0000-0800-000027000000}">
      <text>
        <r>
          <rPr>
            <sz val="11"/>
            <rFont val="Calibri"/>
          </rPr>
          <t>The vCenter Server for Windows passwords must contain at least one numeric character.</t>
        </r>
      </text>
    </comment>
    <comment ref="L92" authorId="0" shapeId="0" xr:uid="{00000000-0006-0000-0800-000028000000}">
      <text>
        <r>
          <rPr>
            <sz val="11"/>
            <rFont val="Calibri"/>
          </rPr>
          <t>The vCenter Server for Windows passwords must contain at least one special character.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The ESXi host must configure the firewall to restrict access to services running on the host.</t>
        </r>
      </text>
    </comment>
    <comment ref="L16" authorId="0" shapeId="0" xr:uid="{00000000-0006-0000-0A00-000002000000}">
      <text>
        <r>
          <rPr>
            <sz val="11"/>
            <rFont val="Calibri"/>
          </rPr>
          <t>The ESXi host must configure the firewall to restrict access to services running on the host.</t>
        </r>
      </text>
    </comment>
    <comment ref="M16" authorId="0" shapeId="0" xr:uid="{00000000-0006-0000-0A00-000003000000}">
      <text>
        <r>
          <rPr>
            <sz val="11"/>
            <rFont val="Calibri"/>
          </rPr>
          <t>The ESXi host must configure the firewall to block network traffic by default.</t>
        </r>
      </text>
    </comment>
    <comment ref="L17" authorId="0" shapeId="0" xr:uid="{00000000-0006-0000-0A00-000004000000}">
      <text>
        <r>
          <rPr>
            <sz val="11"/>
            <rFont val="Calibri"/>
          </rPr>
          <t>The ESXi host must configure the firewall to block network traffic by default.</t>
        </r>
      </text>
    </comment>
    <comment ref="M17" authorId="0" shapeId="0" xr:uid="{00000000-0006-0000-0A00-000005000000}">
      <text>
        <r>
          <rPr>
            <sz val="11"/>
            <rFont val="Calibri"/>
          </rPr>
          <t>The vCenter Server for Windows must restrict the connectivity between Update Manager and public patch repositories by use of a separate Update Manager Download Server.</t>
        </r>
      </text>
    </comment>
    <comment ref="L22" authorId="0" shapeId="0" xr:uid="{00000000-0006-0000-0A00-000006000000}">
      <text>
        <r>
          <rPr>
            <sz val="11"/>
            <rFont val="Calibri"/>
          </rPr>
          <t>The virtual switch Forged Transmits policy must be set to reject on the ESXi host.</t>
        </r>
      </text>
    </comment>
    <comment ref="M22" authorId="0" shapeId="0" xr:uid="{00000000-0006-0000-0A00-000009000000}">
      <text>
        <r>
          <rPr>
            <sz val="11"/>
            <rFont val="Calibri"/>
          </rPr>
          <t>The virtual switch MAC Address Change policy must be set to reject on the ESXi host.</t>
        </r>
      </text>
    </comment>
    <comment ref="N22" authorId="0" shapeId="0" xr:uid="{00000000-0006-0000-0A00-000007000000}">
      <text>
        <r>
          <rPr>
            <sz val="11"/>
            <rFont val="Calibri"/>
          </rPr>
          <t>The vCenter Server for Windows must set the distributed port group Forged Transmits policy to reject.</t>
        </r>
      </text>
    </comment>
    <comment ref="O22" authorId="0" shapeId="0" xr:uid="{00000000-0006-0000-0A00-000008000000}">
      <text>
        <r>
          <rPr>
            <sz val="11"/>
            <rFont val="Calibri"/>
          </rPr>
          <t>The vCenter Server for Windows must set the distributed port group MAC Address Change policy to reject.</t>
        </r>
      </text>
    </comment>
    <comment ref="L32" authorId="0" shapeId="0" xr:uid="{00000000-0006-0000-0A00-00000A000000}">
      <text>
        <r>
          <rPr>
            <sz val="11"/>
            <rFont val="Calibri"/>
          </rPr>
          <t>System administrators must use templates to deploy virtual machines whenever possible.</t>
        </r>
      </text>
    </comment>
    <comment ref="L35" authorId="0" shapeId="0" xr:uid="{00000000-0006-0000-0A00-00000B000000}">
      <text>
        <r>
          <rPr>
            <sz val="11"/>
            <rFont val="Calibri"/>
          </rPr>
          <t>The ESXi host SSH daemon must be configured to use only the SSHv2 protocol.</t>
        </r>
      </text>
    </comment>
    <comment ref="M35" authorId="0" shapeId="0" xr:uid="{00000000-0006-0000-0A00-000017000000}">
      <text>
        <r>
          <rPr>
            <sz val="11"/>
            <rFont val="Calibri"/>
          </rPr>
          <t>The ESXi host SSH daemon must ignore .rhosts files.</t>
        </r>
      </text>
    </comment>
    <comment ref="N35" authorId="0" shapeId="0" xr:uid="{00000000-0006-0000-0A00-000018000000}">
      <text>
        <r>
          <rPr>
            <sz val="11"/>
            <rFont val="Calibri"/>
          </rPr>
          <t>The ESXi host SSH daemon must not allow host-based authentication.</t>
        </r>
      </text>
    </comment>
    <comment ref="O35" authorId="0" shapeId="0" xr:uid="{00000000-0006-0000-0A00-000019000000}">
      <text>
        <r>
          <rPr>
            <sz val="11"/>
            <rFont val="Calibri"/>
          </rPr>
          <t>The ESXi host SSH daemon must not permit GSSAPI authentication.</t>
        </r>
      </text>
    </comment>
    <comment ref="P35" authorId="0" shapeId="0" xr:uid="{00000000-0006-0000-0A00-00000C000000}">
      <text>
        <r>
          <rPr>
            <sz val="11"/>
            <rFont val="Calibri"/>
          </rPr>
          <t>The ESXi host SSH daemon must not permit Kerberos authentication.</t>
        </r>
      </text>
    </comment>
    <comment ref="Q35" authorId="0" shapeId="0" xr:uid="{00000000-0006-0000-0A00-00000D000000}">
      <text>
        <r>
          <rPr>
            <sz val="11"/>
            <rFont val="Calibri"/>
          </rPr>
          <t>The ESXi host SSH daemon must be configured to not allow gateway ports.</t>
        </r>
      </text>
    </comment>
    <comment ref="R35" authorId="0" shapeId="0" xr:uid="{00000000-0006-0000-0A00-00000E000000}">
      <text>
        <r>
          <rPr>
            <sz val="11"/>
            <rFont val="Calibri"/>
          </rPr>
          <t>The ESXi host SSH daemon must be configured to not allow X11 forwarding.</t>
        </r>
      </text>
    </comment>
    <comment ref="S35" authorId="0" shapeId="0" xr:uid="{00000000-0006-0000-0A00-00000F000000}">
      <text>
        <r>
          <rPr>
            <sz val="11"/>
            <rFont val="Calibri"/>
          </rPr>
          <t>The ESXi host SSH daemon must not permit tunnels.</t>
        </r>
      </text>
    </comment>
    <comment ref="T35" authorId="0" shapeId="0" xr:uid="{00000000-0006-0000-0A00-000010000000}">
      <text>
        <r>
          <rPr>
            <sz val="11"/>
            <rFont val="Calibri"/>
          </rPr>
          <t>The ESXi host must disable the Managed Object Browser (MOB).</t>
        </r>
      </text>
    </comment>
    <comment ref="U35" authorId="0" shapeId="0" xr:uid="{00000000-0006-0000-0A00-000011000000}">
      <text>
        <r>
          <rPr>
            <sz val="11"/>
            <rFont val="Calibri"/>
          </rPr>
          <t>The ESXi host must be configured to disable non-essential capabilities by disabling SSH.</t>
        </r>
      </text>
    </comment>
    <comment ref="V35" authorId="0" shapeId="0" xr:uid="{00000000-0006-0000-0A00-000012000000}">
      <text>
        <r>
          <rPr>
            <sz val="11"/>
            <rFont val="Calibri"/>
          </rPr>
          <t>The ESXi host must disable ESXi Shell unless needed for diagnostics or troubleshooting.</t>
        </r>
      </text>
    </comment>
    <comment ref="W35" authorId="0" shapeId="0" xr:uid="{00000000-0006-0000-0A00-000013000000}">
      <text>
        <r>
          <rPr>
            <sz val="11"/>
            <rFont val="Calibri"/>
          </rPr>
          <t>The vCenter Server for Windows must disable the managed object browser at all times, when not required for the purpose of troubleshooting or maintenance of managed objects.</t>
        </r>
      </text>
    </comment>
    <comment ref="X35" authorId="0" shapeId="0" xr:uid="{00000000-0006-0000-0A00-000014000000}">
      <text>
        <r>
          <rPr>
            <sz val="11"/>
            <rFont val="Calibri"/>
          </rPr>
          <t>The vCenter Server for Windows must disable Password and Windows integrated authentication.</t>
        </r>
      </text>
    </comment>
    <comment ref="Y35" authorId="0" shapeId="0" xr:uid="{00000000-0006-0000-0A00-000015000000}">
      <text>
        <r>
          <rPr>
            <sz val="11"/>
            <rFont val="Calibri"/>
          </rPr>
          <t>The vCenter Server for Windows must disable SNMPv1.</t>
        </r>
      </text>
    </comment>
    <comment ref="Z35" authorId="0" shapeId="0" xr:uid="{00000000-0006-0000-0A00-000016000000}">
      <text>
        <r>
          <rPr>
            <sz val="11"/>
            <rFont val="Calibri"/>
          </rPr>
          <t>Console access through the VNC protocol must be disabled on the virtual machine.</t>
        </r>
      </text>
    </comment>
    <comment ref="L36" authorId="0" shapeId="0" xr:uid="{00000000-0006-0000-0A00-00001A000000}">
      <text>
        <r>
          <rPr>
            <sz val="11"/>
            <rFont val="Calibri"/>
          </rPr>
          <t>SNMP must be configured properly on the ESXi host.</t>
        </r>
      </text>
    </comment>
    <comment ref="L73" authorId="0" shapeId="0" xr:uid="{00000000-0006-0000-0A00-00001B000000}">
      <text>
        <r>
          <rPr>
            <sz val="11"/>
            <rFont val="Calibri"/>
          </rPr>
          <t>The vCenter Server for Windows must have new Key Encryption Keys (KEKs) re-issued at regular intervals for vSAN encrypted datastore(s).</t>
        </r>
      </text>
    </comment>
    <comment ref="L84" authorId="0" shapeId="0" xr:uid="{00000000-0006-0000-0A00-00001C000000}">
      <text>
        <r>
          <rPr>
            <sz val="11"/>
            <rFont val="Calibri"/>
          </rPr>
          <t>The ESXi host SSH daemon must use DoD-approved encryption to protect the confidentiality of remote access sessions.</t>
        </r>
      </text>
    </comment>
    <comment ref="M84" authorId="0" shapeId="0" xr:uid="{00000000-0006-0000-0A00-00001D000000}">
      <text>
        <r>
          <rPr>
            <sz val="11"/>
            <rFont val="Calibri"/>
          </rPr>
          <t>The ESXi host SSH daemon must be configured to only use Message Authentication Codes (MACs) employing FIPS 140-2 approved cryptographic hash algorithms.</t>
        </r>
      </text>
    </comment>
    <comment ref="N84" authorId="0" shapeId="0" xr:uid="{00000000-0006-0000-0A00-00001E000000}">
      <text>
        <r>
          <rPr>
            <sz val="11"/>
            <rFont val="Calibri"/>
          </rPr>
          <t>The vCenter Server for Windows must enable SSL for Network File Copy (NFC).</t>
        </r>
      </text>
    </comment>
    <comment ref="O84" authorId="0" shapeId="0" xr:uid="{00000000-0006-0000-0A00-00001F000000}">
      <text>
        <r>
          <rPr>
            <sz val="11"/>
            <rFont val="Calibri"/>
          </rPr>
          <t>The vCenter Server for Windows must enable TLS 1.2 exclusively.</t>
        </r>
      </text>
    </comment>
    <comment ref="P84" authorId="0" shapeId="0" xr:uid="{00000000-0006-0000-0A00-000020000000}">
      <text>
        <r>
          <rPr>
            <sz val="11"/>
            <rFont val="Calibri"/>
          </rPr>
          <t>The vCenter Server for Windows must use LDAPS when adding an SSO identity source.</t>
        </r>
      </text>
    </comment>
    <comment ref="Q84" authorId="0" shapeId="0" xr:uid="{00000000-0006-0000-0A00-000021000000}">
      <text>
        <r>
          <rPr>
            <sz val="11"/>
            <rFont val="Calibri"/>
          </rPr>
          <t>Encryption must be enabled for vMotion on the virtual machine.</t>
        </r>
      </text>
    </comment>
    <comment ref="R84" authorId="0" shapeId="0" xr:uid="{00000000-0006-0000-0A00-000022000000}">
      <text>
        <r>
          <rPr>
            <sz val="11"/>
            <rFont val="Calibri"/>
          </rPr>
          <t>The ESXi host must protect the confidentiality and integrity of transmitted information.</t>
        </r>
      </text>
    </comment>
    <comment ref="L119" authorId="0" shapeId="0" xr:uid="{00000000-0006-0000-0A00-000023000000}">
      <text>
        <r>
          <rPr>
            <sz val="11"/>
            <rFont val="Calibri"/>
          </rPr>
          <t>The ESXi host must have all security patches and updates installed.</t>
        </r>
      </text>
    </comment>
    <comment ref="L137" authorId="0" shapeId="0" xr:uid="{00000000-0006-0000-0A00-000024000000}">
      <text>
        <r>
          <rPr>
            <sz val="11"/>
            <rFont val="Calibri"/>
          </rPr>
          <t>The ESXi host must not provide root/administrator level access to CIM-based hardware monitoring tools or other third-party applications.</t>
        </r>
      </text>
    </comment>
    <comment ref="M137" authorId="0" shapeId="0" xr:uid="{00000000-0006-0000-0A00-000025000000}">
      <text>
        <r>
          <rPr>
            <sz val="11"/>
            <rFont val="Calibri"/>
          </rPr>
          <t>The vCenter Server for Windows users must have the correct roles assigned.</t>
        </r>
      </text>
    </comment>
    <comment ref="N137" authorId="0" shapeId="0" xr:uid="{00000000-0006-0000-0A00-000026000000}">
      <text>
        <r>
          <rPr>
            <sz val="11"/>
            <rFont val="Calibri"/>
          </rPr>
          <t>The vCenter Server for Windows must use a least-privileges assignment for the Update Manager database user.</t>
        </r>
      </text>
    </comment>
    <comment ref="O137" authorId="0" shapeId="0" xr:uid="{00000000-0006-0000-0A00-000027000000}">
      <text>
        <r>
          <rPr>
            <sz val="11"/>
            <rFont val="Calibri"/>
          </rPr>
          <t>The vCenter Server for Windows must use a least-privileges assignment for the vCenter Server database user.</t>
        </r>
      </text>
    </comment>
    <comment ref="P137" authorId="0" shapeId="0" xr:uid="{00000000-0006-0000-0A00-000028000000}">
      <text>
        <r>
          <rPr>
            <sz val="11"/>
            <rFont val="Calibri"/>
          </rPr>
          <t>The vCenter Server for Windows users must have the correct roles assigned.</t>
        </r>
      </text>
    </comment>
    <comment ref="Q137" authorId="0" shapeId="0" xr:uid="{00000000-0006-0000-0A00-000029000000}">
      <text>
        <r>
          <rPr>
            <sz val="11"/>
            <rFont val="Calibri"/>
          </rPr>
          <t>The vCenter Server for Windows users must have the correct roles assigned.</t>
        </r>
      </text>
    </comment>
    <comment ref="R137" authorId="0" shapeId="0" xr:uid="{00000000-0006-0000-0A00-00002A000000}">
      <text>
        <r>
          <rPr>
            <sz val="11"/>
            <rFont val="Calibri"/>
          </rPr>
          <t>The vCenter Server for Windows must restrict access to cryptographic role.</t>
        </r>
      </text>
    </comment>
    <comment ref="S137" authorId="0" shapeId="0" xr:uid="{00000000-0006-0000-0A00-00002B000000}">
      <text>
        <r>
          <rPr>
            <sz val="11"/>
            <rFont val="Calibri"/>
          </rPr>
          <t>The vCenter Server for Windows must restrict access to cryptographic permissions.</t>
        </r>
      </text>
    </comment>
    <comment ref="L138" authorId="0" shapeId="0" xr:uid="{00000000-0006-0000-0A00-00002C000000}">
      <text>
        <r>
          <rPr>
            <sz val="11"/>
            <rFont val="Calibri"/>
          </rPr>
          <t>The vCenter Server for Windows must minimize access to the vCenter server.</t>
        </r>
      </text>
    </comment>
    <comment ref="L145" authorId="0" shapeId="0" xr:uid="{00000000-0006-0000-0A00-00002D000000}">
      <text>
        <r>
          <rPr>
            <sz val="11"/>
            <rFont val="Calibri"/>
          </rPr>
          <t>The vCenter Server for Windows users must have the correct roles assigned.</t>
        </r>
      </text>
    </comment>
    <comment ref="M145" authorId="0" shapeId="0" xr:uid="{00000000-0006-0000-0A00-00002E000000}">
      <text>
        <r>
          <rPr>
            <sz val="11"/>
            <rFont val="Calibri"/>
          </rPr>
          <t>The vCenter Server for Windows users must have the correct roles assigned.</t>
        </r>
      </text>
    </comment>
    <comment ref="N145" authorId="0" shapeId="0" xr:uid="{00000000-0006-0000-0A00-00002F000000}">
      <text>
        <r>
          <rPr>
            <sz val="11"/>
            <rFont val="Calibri"/>
          </rPr>
          <t>The vCenter Server for Windows users must have the correct roles assigned.</t>
        </r>
      </text>
    </comment>
    <comment ref="L152" authorId="0" shapeId="0" xr:uid="{00000000-0006-0000-0A00-000030000000}">
      <text>
        <r>
          <rPr>
            <sz val="11"/>
            <rFont val="Calibri"/>
          </rPr>
          <t>The ESXi host must use Active Directory for local user authentication.</t>
        </r>
      </text>
    </comment>
    <comment ref="M152" authorId="0" shapeId="0" xr:uid="{00000000-0006-0000-0A00-000031000000}">
      <text>
        <r>
          <rPr>
            <sz val="11"/>
            <rFont val="Calibri"/>
          </rPr>
          <t>The ESXi host must require individuals to be authenticated with an individual authenticator prior to using a group authenticator by using Active Directory for local user authentication.</t>
        </r>
      </text>
    </comment>
    <comment ref="N152" authorId="0" shapeId="0" xr:uid="{00000000-0006-0000-0A00-000032000000}">
      <text>
        <r>
          <rPr>
            <sz val="11"/>
            <rFont val="Calibri"/>
          </rPr>
          <t>The vCenter Server for Windows must use Active Directory authentication.</t>
        </r>
      </text>
    </comment>
    <comment ref="L153" authorId="0" shapeId="0" xr:uid="{00000000-0006-0000-0A00-000033000000}">
      <text>
        <r>
          <rPr>
            <sz val="11"/>
            <rFont val="Calibri"/>
          </rPr>
          <t>The vCenter Server for Windows must use unique service accounts when applications connect to vCenter.</t>
        </r>
      </text>
    </comment>
    <comment ref="L159" authorId="0" shapeId="0" xr:uid="{00000000-0006-0000-0A00-000034000000}">
      <text>
        <r>
          <rPr>
            <sz val="11"/>
            <rFont val="Calibri"/>
          </rPr>
          <t>The ESXi host SSH daemon must set a timeout count on idle sessions.</t>
        </r>
      </text>
    </comment>
    <comment ref="M159" authorId="0" shapeId="0" xr:uid="{00000000-0006-0000-0A00-000035000000}">
      <text>
        <r>
          <rPr>
            <sz val="11"/>
            <rFont val="Calibri"/>
          </rPr>
          <t>The ESXi hostSSH daemon must set a timeout interval on idle sessions.</t>
        </r>
      </text>
    </comment>
    <comment ref="N159" authorId="0" shapeId="0" xr:uid="{00000000-0006-0000-0A00-000036000000}">
      <text>
        <r>
          <rPr>
            <sz val="11"/>
            <rFont val="Calibri"/>
          </rPr>
          <t>The ESXi host must set a timeout to automatically disable idle sessions after 10 minutes.</t>
        </r>
      </text>
    </comment>
    <comment ref="O159" authorId="0" shapeId="0" xr:uid="{00000000-0006-0000-0A00-000037000000}">
      <text>
        <r>
          <rPr>
            <sz val="11"/>
            <rFont val="Calibri"/>
          </rPr>
          <t>The ESXi host must terminate shell services after 10 minutes.</t>
        </r>
      </text>
    </comment>
    <comment ref="P159" authorId="0" shapeId="0" xr:uid="{00000000-0006-0000-0A00-000038000000}">
      <text>
        <r>
          <rPr>
            <sz val="11"/>
            <rFont val="Calibri"/>
          </rPr>
          <t>The ESXi host must logout of the console UI after 10 minutes.</t>
        </r>
      </text>
    </comment>
    <comment ref="Q159" authorId="0" shapeId="0" xr:uid="{00000000-0006-0000-0A00-000039000000}">
      <text>
        <r>
          <rPr>
            <sz val="11"/>
            <rFont val="Calibri"/>
          </rPr>
          <t>The vCenter Server for Windows must not automatically refresh client sessions.</t>
        </r>
      </text>
    </comment>
    <comment ref="R159" authorId="0" shapeId="0" xr:uid="{00000000-0006-0000-0A00-00003A000000}">
      <text>
        <r>
          <rPr>
            <sz val="11"/>
            <rFont val="Calibri"/>
          </rPr>
          <t>The vCenter Server for Windows must terminate management sessions after 10 minutes of inactivity.</t>
        </r>
      </text>
    </comment>
    <comment ref="S159" authorId="0" shapeId="0" xr:uid="{00000000-0006-0000-0A00-00003B000000}">
      <text>
        <r>
          <rPr>
            <sz val="11"/>
            <rFont val="Calibri"/>
          </rPr>
          <t>The virtual machine guest operating system must be locked when the last console connection is closed.</t>
        </r>
      </text>
    </comment>
    <comment ref="L161" authorId="0" shapeId="0" xr:uid="{00000000-0006-0000-0A00-00003C000000}">
      <text>
        <r>
          <rPr>
            <sz val="11"/>
            <rFont val="Calibri"/>
          </rPr>
          <t>The ESXi host SSH daemon must not allow authentication using an empty password.</t>
        </r>
      </text>
    </comment>
    <comment ref="L162" authorId="0" shapeId="0" xr:uid="{00000000-0006-0000-0A00-00003D000000}">
      <text>
        <r>
          <rPr>
            <sz val="11"/>
            <rFont val="Calibri"/>
          </rPr>
          <t>The password hashes stored on the ESXi host must have been generated using a FIPS 140-2 approved cryptographic hashing algorithm.</t>
        </r>
      </text>
    </comment>
    <comment ref="L164" authorId="0" shapeId="0" xr:uid="{00000000-0006-0000-0A00-00003E000000}">
      <text>
        <r>
          <rPr>
            <sz val="11"/>
            <rFont val="Calibri"/>
          </rPr>
          <t>The ESXi host must enforce the limit of three consecutive invalid logon attempts by a user.</t>
        </r>
      </text>
    </comment>
    <comment ref="M164" authorId="0" shapeId="0" xr:uid="{00000000-0006-0000-0A00-00003F000000}">
      <text>
        <r>
          <rPr>
            <sz val="11"/>
            <rFont val="Calibri"/>
          </rPr>
          <t>The ESXi host must enforce the unlock timeout of 15 minutes after a user account is locked out.</t>
        </r>
      </text>
    </comment>
    <comment ref="N164" authorId="0" shapeId="0" xr:uid="{00000000-0006-0000-0A00-000040000000}">
      <text>
        <r>
          <rPr>
            <sz val="11"/>
            <rFont val="Calibri"/>
          </rPr>
          <t>The vCenter Server for Windows must limit the maximum number of failed login attempts to three.</t>
        </r>
      </text>
    </comment>
    <comment ref="O164" authorId="0" shapeId="0" xr:uid="{00000000-0006-0000-0A00-000041000000}">
      <text>
        <r>
          <rPr>
            <sz val="11"/>
            <rFont val="Calibri"/>
          </rPr>
          <t>The vCenter Server for Windows must set the interval for counting failed login attempts to at least 15 minutes.</t>
        </r>
      </text>
    </comment>
    <comment ref="P164" authorId="0" shapeId="0" xr:uid="{00000000-0006-0000-0A00-000042000000}">
      <text>
        <r>
          <rPr>
            <sz val="11"/>
            <rFont val="Calibri"/>
          </rPr>
          <t>The vCenter Server for Windows must require an administrator to unlock an account locked due to excessive login failures.</t>
        </r>
      </text>
    </comment>
    <comment ref="L166" authorId="0" shapeId="0" xr:uid="{00000000-0006-0000-0A00-000043000000}">
      <text>
        <r>
          <rPr>
            <sz val="11"/>
            <rFont val="Calibri"/>
          </rPr>
          <t>The ESXi host  must enforce password complexity by requiring that at least one upper-case character be used.</t>
        </r>
      </text>
    </comment>
    <comment ref="M166" authorId="0" shapeId="0" xr:uid="{00000000-0006-0000-0A00-000044000000}">
      <text>
        <r>
          <rPr>
            <sz val="11"/>
            <rFont val="Calibri"/>
          </rPr>
          <t>The vCenter Server for Windows must configure the vpxuser password meets length policy.</t>
        </r>
      </text>
    </comment>
    <comment ref="N166" authorId="0" shapeId="0" xr:uid="{00000000-0006-0000-0A00-000045000000}">
      <text>
        <r>
          <rPr>
            <sz val="11"/>
            <rFont val="Calibri"/>
          </rPr>
          <t>The vCenter Server for Windows passwords must be at least 15 characters in length.</t>
        </r>
      </text>
    </comment>
    <comment ref="O166" authorId="0" shapeId="0" xr:uid="{00000000-0006-0000-0A00-000046000000}">
      <text>
        <r>
          <rPr>
            <sz val="11"/>
            <rFont val="Calibri"/>
          </rPr>
          <t>The vCenter Server for Windows passwords must contain at least one uppercase character.</t>
        </r>
      </text>
    </comment>
    <comment ref="P166" authorId="0" shapeId="0" xr:uid="{00000000-0006-0000-0A00-000047000000}">
      <text>
        <r>
          <rPr>
            <sz val="11"/>
            <rFont val="Calibri"/>
          </rPr>
          <t>The vCenter Server for Windows passwords must contain at least one lowercase character.</t>
        </r>
      </text>
    </comment>
    <comment ref="Q166" authorId="0" shapeId="0" xr:uid="{00000000-0006-0000-0A00-000048000000}">
      <text>
        <r>
          <rPr>
            <sz val="11"/>
            <rFont val="Calibri"/>
          </rPr>
          <t>The vCenter Server for Windows passwords must contain at least one numeric character.</t>
        </r>
      </text>
    </comment>
    <comment ref="R166" authorId="0" shapeId="0" xr:uid="{00000000-0006-0000-0A00-000049000000}">
      <text>
        <r>
          <rPr>
            <sz val="11"/>
            <rFont val="Calibri"/>
          </rPr>
          <t>The vCenter Server for Windows passwords must contain at least one special character.</t>
        </r>
      </text>
    </comment>
    <comment ref="L167" authorId="0" shapeId="0" xr:uid="{00000000-0006-0000-0A00-00004A000000}">
      <text>
        <r>
          <rPr>
            <sz val="11"/>
            <rFont val="Calibri"/>
          </rPr>
          <t>The ESXi host must prohibit the reuse of passwords within five iterations.</t>
        </r>
      </text>
    </comment>
    <comment ref="M167" authorId="0" shapeId="0" xr:uid="{00000000-0006-0000-0A00-00004B000000}">
      <text>
        <r>
          <rPr>
            <sz val="11"/>
            <rFont val="Calibri"/>
          </rPr>
          <t>The vCenter Server for Windows must prohibit password reuse for a minimum of five generations.</t>
        </r>
      </text>
    </comment>
    <comment ref="L169" authorId="0" shapeId="0" xr:uid="{00000000-0006-0000-0A00-00004C000000}">
      <text>
        <r>
          <rPr>
            <sz val="11"/>
            <rFont val="Calibri"/>
          </rPr>
          <t>The vCenter Server for Windows must enforce a 60-day maximum password lifetime restriction.</t>
        </r>
      </text>
    </comment>
    <comment ref="L174" authorId="0" shapeId="0" xr:uid="{00000000-0006-0000-0A00-00004D000000}">
      <text>
        <r>
          <rPr>
            <sz val="11"/>
            <rFont val="Calibri"/>
          </rPr>
          <t>The ESXi host must use multifactor authentication for local access to privileged accounts.</t>
        </r>
      </text>
    </comment>
    <comment ref="M174" authorId="0" shapeId="0" xr:uid="{00000000-0006-0000-0A00-00004E000000}">
      <text>
        <r>
          <rPr>
            <sz val="11"/>
            <rFont val="Calibri"/>
          </rPr>
          <t>The vCenter Server for Windows must enable certificate based authentication.</t>
        </r>
      </text>
    </comment>
    <comment ref="L180" authorId="0" shapeId="0" xr:uid="{00000000-0006-0000-0A00-00004F000000}">
      <text>
        <r>
          <rPr>
            <sz val="11"/>
            <rFont val="Calibri"/>
          </rPr>
          <t>The vCenter Server for Windows services must be ran using a service account instead of a built-in Windows account.</t>
        </r>
      </text>
    </comment>
    <comment ref="M180" authorId="0" shapeId="0" xr:uid="{00000000-0006-0000-0A00-000050000000}">
      <text>
        <r>
          <rPr>
            <sz val="11"/>
            <rFont val="Calibri"/>
          </rPr>
          <t>The vCenter Server for Windows must use unique service accounts when applications connect to vCenter.</t>
        </r>
      </text>
    </comment>
    <comment ref="L181" authorId="0" shapeId="0" xr:uid="{00000000-0006-0000-0A00-000051000000}">
      <text>
        <r>
          <rPr>
            <sz val="11"/>
            <rFont val="Calibri"/>
          </rPr>
          <t>The vCenter Server for Windows must configure the vpxuser auto-password to be changed every 30 days.</t>
        </r>
      </text>
    </comment>
    <comment ref="L221" authorId="0" shapeId="0" xr:uid="{00000000-0006-0000-0A00-000052000000}">
      <text>
        <r>
          <rPr>
            <sz val="11"/>
            <rFont val="Calibri"/>
          </rPr>
          <t>Remote logging for ESXi hosts must be configured.</t>
        </r>
      </text>
    </comment>
    <comment ref="M221" authorId="0" shapeId="0" xr:uid="{00000000-0006-0000-0A00-000053000000}">
      <text>
        <r>
          <rPr>
            <sz val="11"/>
            <rFont val="Calibri"/>
          </rPr>
          <t>The ESXi host must produce audit records containing information to establish what type of events occurred.</t>
        </r>
      </text>
    </comment>
    <comment ref="N221" authorId="0" shapeId="0" xr:uid="{00000000-0006-0000-0A00-000054000000}">
      <text>
        <r>
          <rPr>
            <sz val="11"/>
            <rFont val="Calibri"/>
          </rPr>
          <t>The ESXi host must enable a persistent log location for all locally stored logs.</t>
        </r>
      </text>
    </comment>
    <comment ref="O221" authorId="0" shapeId="0" xr:uid="{00000000-0006-0000-0A00-000055000000}">
      <text>
        <r>
          <rPr>
            <sz val="11"/>
            <rFont val="Calibri"/>
          </rPr>
          <t>The vCenter Server for Windows must produce audit records containing information to establish what type of events occurred.</t>
        </r>
      </text>
    </comment>
    <comment ref="L226" authorId="0" shapeId="0" xr:uid="{00000000-0006-0000-0A00-000056000000}">
      <text>
        <r>
          <rPr>
            <sz val="11"/>
            <rFont val="Calibri"/>
          </rPr>
          <t>The vCenter Server for Windows must alert administrators on permission creation operations.</t>
        </r>
      </text>
    </comment>
    <comment ref="M226" authorId="0" shapeId="0" xr:uid="{00000000-0006-0000-0A00-000057000000}">
      <text>
        <r>
          <rPr>
            <sz val="11"/>
            <rFont val="Calibri"/>
          </rPr>
          <t>The vCenter Server for Windows must alert administrators on permission deletion operations.</t>
        </r>
      </text>
    </comment>
    <comment ref="N226" authorId="0" shapeId="0" xr:uid="{00000000-0006-0000-0A00-000058000000}">
      <text>
        <r>
          <rPr>
            <sz val="11"/>
            <rFont val="Calibri"/>
          </rPr>
          <t>The vCenter Server for Windows must alert administrators on permission update operations.</t>
        </r>
      </text>
    </comment>
    <comment ref="L229" authorId="0" shapeId="0" xr:uid="{00000000-0006-0000-0A00-000059000000}">
      <text>
        <r>
          <rPr>
            <sz val="11"/>
            <rFont val="Calibri"/>
          </rPr>
          <t>The ESXi host must produce audit records containing information to establish what type of events occurred.</t>
        </r>
      </text>
    </comment>
    <comment ref="M229" authorId="0" shapeId="0" xr:uid="{00000000-0006-0000-0A00-00005A000000}">
      <text>
        <r>
          <rPr>
            <sz val="11"/>
            <rFont val="Calibri"/>
          </rPr>
          <t>The vCenter Server for Windows must produce audit records containing information to establish what type of events occurred.</t>
        </r>
      </text>
    </comment>
    <comment ref="L233" authorId="0" shapeId="0" xr:uid="{00000000-0006-0000-0A00-00005B000000}">
      <text>
        <r>
          <rPr>
            <sz val="11"/>
            <rFont val="Calibri"/>
          </rPr>
          <t>Remote logging for ESXi hosts must be configured.</t>
        </r>
      </text>
    </comment>
    <comment ref="L242" authorId="0" shapeId="0" xr:uid="{00000000-0006-0000-0A00-00005C000000}">
      <text>
        <r>
          <rPr>
            <sz val="11"/>
            <rFont val="Calibri"/>
          </rPr>
          <t>The ESXi host must enable a persistent log location for all locally stored logs.</t>
        </r>
      </text>
    </comment>
    <comment ref="L244" authorId="0" shapeId="0" xr:uid="{00000000-0006-0000-0A00-00005D000000}">
      <text>
        <r>
          <rPr>
            <sz val="11"/>
            <rFont val="Calibri"/>
          </rPr>
          <t>The ESXi host must configure NTP time synchronization.</t>
        </r>
      </text>
    </comment>
    <comment ref="L245" authorId="0" shapeId="0" xr:uid="{00000000-0006-0000-0A00-00005E000000}">
      <text>
        <r>
          <rPr>
            <sz val="11"/>
            <rFont val="Calibri"/>
          </rPr>
          <t>The ESXi host must configure NTP time synchronization.</t>
        </r>
      </text>
    </comment>
    <comment ref="L249" authorId="0" shapeId="0" xr:uid="{00000000-0006-0000-0A00-00005F000000}">
      <text>
        <r>
          <rPr>
            <sz val="11"/>
            <rFont val="Calibri"/>
          </rPr>
          <t>The vCenter Server for Windows must provide an immediate real-time alert to the SA and ISSO, at a minimum, of all audit failure events.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2" authorId="0" shapeId="0" xr:uid="{00000000-0006-0000-0B00-000001000000}">
      <text>
        <r>
          <rPr>
            <sz val="11"/>
            <rFont val="Calibri"/>
          </rPr>
          <t>The ESXi host must have all security patches and updates installed.</t>
        </r>
      </text>
    </comment>
    <comment ref="H308" authorId="0" shapeId="0" xr:uid="{00000000-0006-0000-0B00-000002000000}">
      <text>
        <r>
          <rPr>
            <sz val="11"/>
            <rFont val="Calibri"/>
          </rPr>
          <t>The vCenter Server for Windows Administrator role must be secured and assigned to specific users other than a Windows Administrator.</t>
        </r>
      </text>
    </comment>
    <comment ref="H309" authorId="0" shapeId="0" xr:uid="{00000000-0006-0000-0B00-000003000000}">
      <text>
        <r>
          <rPr>
            <sz val="11"/>
            <rFont val="Calibri"/>
          </rPr>
          <t>The ESXi host SSH daemon must not permit root logins.</t>
        </r>
      </text>
    </comment>
    <comment ref="I309" authorId="0" shapeId="0" xr:uid="{00000000-0006-0000-0B00-00000A000000}">
      <text>
        <r>
          <rPr>
            <sz val="11"/>
            <rFont val="Calibri"/>
          </rPr>
          <t>The ESXi host must not provide root/administrator level access to CIM-based hardware monitoring tools or other third-party applications.</t>
        </r>
      </text>
    </comment>
    <comment ref="J309" authorId="0" shapeId="0" xr:uid="{00000000-0006-0000-0B00-000004000000}">
      <text>
        <r>
          <rPr>
            <sz val="11"/>
            <rFont val="Calibri"/>
          </rPr>
          <t>The vCenter Server for Windows must minimize access to the vCenter server.</t>
        </r>
      </text>
    </comment>
    <comment ref="K309" authorId="0" shapeId="0" xr:uid="{00000000-0006-0000-0B00-000005000000}">
      <text>
        <r>
          <rPr>
            <sz val="11"/>
            <rFont val="Calibri"/>
          </rPr>
          <t>The vCenter Server for Windows must use a least-privileges assignment for the Update Manager database user.</t>
        </r>
      </text>
    </comment>
    <comment ref="L309" authorId="0" shapeId="0" xr:uid="{00000000-0006-0000-0B00-000006000000}">
      <text>
        <r>
          <rPr>
            <sz val="11"/>
            <rFont val="Calibri"/>
          </rPr>
          <t>The vCenter Server for Windows must use a least-privileges assignment for the vCenter Server database user.</t>
        </r>
      </text>
    </comment>
    <comment ref="M309" authorId="0" shapeId="0" xr:uid="{00000000-0006-0000-0B00-000007000000}">
      <text>
        <r>
          <rPr>
            <sz val="11"/>
            <rFont val="Calibri"/>
          </rPr>
          <t>The vCenter Server for Windows must restrict access to cryptographic role.</t>
        </r>
      </text>
    </comment>
    <comment ref="N309" authorId="0" shapeId="0" xr:uid="{00000000-0006-0000-0B00-000008000000}">
      <text>
        <r>
          <rPr>
            <sz val="11"/>
            <rFont val="Calibri"/>
          </rPr>
          <t>The vCenter Server for Windows must restrict access to cryptographic permissions.</t>
        </r>
      </text>
    </comment>
    <comment ref="O309" authorId="0" shapeId="0" xr:uid="{00000000-0006-0000-0B00-000009000000}">
      <text>
        <r>
          <rPr>
            <sz val="11"/>
            <rFont val="Calibri"/>
          </rPr>
          <t>The vCenter Server for Windows must use a limited privilege account when adding an LDAP identity source.</t>
        </r>
      </text>
    </comment>
    <comment ref="H312" authorId="0" shapeId="0" xr:uid="{00000000-0006-0000-0B00-00000B000000}">
      <text>
        <r>
          <rPr>
            <sz val="11"/>
            <rFont val="Calibri"/>
          </rPr>
          <t>Active Directory ESX Admin group membership must not be used when adding ESXi hosts to Active Directory.</t>
        </r>
      </text>
    </comment>
    <comment ref="H313" authorId="0" shapeId="0" xr:uid="{00000000-0006-0000-0B00-00000C000000}">
      <text>
        <r>
          <rPr>
            <sz val="11"/>
            <rFont val="Calibri"/>
          </rPr>
          <t>The vCenter Server for Windows must limit the use of the built-in SSO administrative account.</t>
        </r>
      </text>
    </comment>
    <comment ref="I313" authorId="0" shapeId="0" xr:uid="{00000000-0006-0000-0B00-00000D000000}">
      <text>
        <r>
          <rPr>
            <sz val="11"/>
            <rFont val="Calibri"/>
          </rPr>
          <t>The vCenter Server for Windows must use unique service accounts when applications connect to vCenter.</t>
        </r>
      </text>
    </comment>
    <comment ref="H317" authorId="0" shapeId="0" xr:uid="{00000000-0006-0000-0B00-00000E000000}">
      <text>
        <r>
          <rPr>
            <sz val="11"/>
            <rFont val="Calibri"/>
          </rPr>
          <t>The ESXi host must use multifactor authentication for local access to privileged accounts.</t>
        </r>
      </text>
    </comment>
    <comment ref="I317" authorId="0" shapeId="0" xr:uid="{00000000-0006-0000-0B00-00000F000000}">
      <text>
        <r>
          <rPr>
            <sz val="11"/>
            <rFont val="Calibri"/>
          </rPr>
          <t>The vCenter Server for Windows must enable certificate based authentication.</t>
        </r>
      </text>
    </comment>
    <comment ref="H343" authorId="0" shapeId="0" xr:uid="{00000000-0006-0000-0B00-000010000000}">
      <text>
        <r>
          <rPr>
            <sz val="11"/>
            <rFont val="Calibri"/>
          </rPr>
          <t>The ESXi host must verify the DCUI.Access list.</t>
        </r>
      </text>
    </comment>
    <comment ref="I343" authorId="0" shapeId="0" xr:uid="{00000000-0006-0000-0B00-000011000000}">
      <text>
        <r>
          <rPr>
            <sz val="11"/>
            <rFont val="Calibri"/>
          </rPr>
          <t>The ESXi host must verify the exception users list for lockdown mode.</t>
        </r>
      </text>
    </comment>
    <comment ref="H345" authorId="0" shapeId="0" xr:uid="{00000000-0006-0000-0B00-000012000000}">
      <text>
        <r>
          <rPr>
            <sz val="11"/>
            <rFont val="Calibri"/>
          </rPr>
          <t>The ESXi host must limit the number of concurrent sessions to ten for all accounts and/or account types by enabling lockdown mode.</t>
        </r>
      </text>
    </comment>
    <comment ref="I345" authorId="0" shapeId="0" xr:uid="{00000000-0006-0000-0B00-000013000000}">
      <text>
        <r>
          <rPr>
            <sz val="11"/>
            <rFont val="Calibri"/>
          </rPr>
          <t>The vCenter Server for Windows users must have the correct roles assigned.</t>
        </r>
      </text>
    </comment>
    <comment ref="J345" authorId="0" shapeId="0" xr:uid="{00000000-0006-0000-0B00-000014000000}">
      <text>
        <r>
          <rPr>
            <sz val="11"/>
            <rFont val="Calibri"/>
          </rPr>
          <t>The vCenter Server for Windows users must have the correct roles assigned.</t>
        </r>
      </text>
    </comment>
    <comment ref="K345" authorId="0" shapeId="0" xr:uid="{00000000-0006-0000-0B00-000015000000}">
      <text>
        <r>
          <rPr>
            <sz val="11"/>
            <rFont val="Calibri"/>
          </rPr>
          <t>The vCenter Server for Windows users must have the correct roles assigned.</t>
        </r>
      </text>
    </comment>
    <comment ref="H349" authorId="0" shapeId="0" xr:uid="{00000000-0006-0000-0B00-000016000000}">
      <text>
        <r>
          <rPr>
            <sz val="11"/>
            <rFont val="Calibri"/>
          </rPr>
          <t>The ESXi host SSH daemon must use DoD-approved encryption to protect the confidentiality of remote access sessions.</t>
        </r>
      </text>
    </comment>
    <comment ref="I349" authorId="0" shapeId="0" xr:uid="{00000000-0006-0000-0B00-000017000000}">
      <text>
        <r>
          <rPr>
            <sz val="11"/>
            <rFont val="Calibri"/>
          </rPr>
          <t>The ESXi host SSH daemon must be configured to only use Message Authentication Codes (MACs) employing FIPS 140-2 approved cryptographic hash algorithms.</t>
        </r>
      </text>
    </comment>
    <comment ref="J349" authorId="0" shapeId="0" xr:uid="{00000000-0006-0000-0B00-000018000000}">
      <text>
        <r>
          <rPr>
            <sz val="11"/>
            <rFont val="Calibri"/>
          </rPr>
          <t>The vCenter Server for Windows must enable TLS 1.2 exclusively.</t>
        </r>
      </text>
    </comment>
    <comment ref="K349" authorId="0" shapeId="0" xr:uid="{00000000-0006-0000-0B00-000019000000}">
      <text>
        <r>
          <rPr>
            <sz val="11"/>
            <rFont val="Calibri"/>
          </rPr>
          <t>The vCenter Server for Windows must use LDAPS when adding an SSO identity source.</t>
        </r>
      </text>
    </comment>
    <comment ref="L349" authorId="0" shapeId="0" xr:uid="{00000000-0006-0000-0B00-00001A000000}">
      <text>
        <r>
          <rPr>
            <sz val="11"/>
            <rFont val="Calibri"/>
          </rPr>
          <t>Encryption must be enabled for vMotion on the virtual machine.</t>
        </r>
      </text>
    </comment>
    <comment ref="M349" authorId="0" shapeId="0" xr:uid="{00000000-0006-0000-0B00-00001B000000}">
      <text>
        <r>
          <rPr>
            <sz val="11"/>
            <rFont val="Calibri"/>
          </rPr>
          <t>The ESXi host must protect the confidentiality and integrity of transmitted information.</t>
        </r>
      </text>
    </comment>
    <comment ref="H355" authorId="0" shapeId="0" xr:uid="{00000000-0006-0000-0B00-00001C000000}">
      <text>
        <r>
          <rPr>
            <sz val="11"/>
            <rFont val="Calibri"/>
          </rPr>
          <t>The ESXi host must configure NTP time synchronization.</t>
        </r>
      </text>
    </comment>
    <comment ref="H356" authorId="0" shapeId="0" xr:uid="{00000000-0006-0000-0B00-00001D000000}">
      <text>
        <r>
          <rPr>
            <sz val="11"/>
            <rFont val="Calibri"/>
          </rPr>
          <t>Remote logging for ESXi hosts must be configured.</t>
        </r>
      </text>
    </comment>
    <comment ref="I356" authorId="0" shapeId="0" xr:uid="{00000000-0006-0000-0B00-00001E000000}">
      <text>
        <r>
          <rPr>
            <sz val="11"/>
            <rFont val="Calibri"/>
          </rPr>
          <t>The ESXi host must produce audit records containing information to establish what type of events occurred.</t>
        </r>
      </text>
    </comment>
    <comment ref="J356" authorId="0" shapeId="0" xr:uid="{00000000-0006-0000-0B00-00001F000000}">
      <text>
        <r>
          <rPr>
            <sz val="11"/>
            <rFont val="Calibri"/>
          </rPr>
          <t>The ESXi host must enable a persistent log location for all locally stored logs.</t>
        </r>
      </text>
    </comment>
    <comment ref="K356" authorId="0" shapeId="0" xr:uid="{00000000-0006-0000-0B00-000020000000}">
      <text>
        <r>
          <rPr>
            <sz val="11"/>
            <rFont val="Calibri"/>
          </rPr>
          <t>The vCenter Server for Windows must produce audit records containing information to establish what type of events occurred.</t>
        </r>
      </text>
    </comment>
    <comment ref="H360" authorId="0" shapeId="0" xr:uid="{00000000-0006-0000-0B00-000021000000}">
      <text>
        <r>
          <rPr>
            <sz val="11"/>
            <rFont val="Calibri"/>
          </rPr>
          <t>Remote logging for ESXi hosts must be configured.</t>
        </r>
      </text>
    </comment>
    <comment ref="H411" authorId="0" shapeId="0" xr:uid="{00000000-0006-0000-0B00-000022000000}">
      <text>
        <r>
          <rPr>
            <sz val="11"/>
            <rFont val="Calibri"/>
          </rPr>
          <t>For the ESXi host all port groups must be configured to a value other than that of the native VLAN.</t>
        </r>
      </text>
    </comment>
    <comment ref="I411" authorId="0" shapeId="0" xr:uid="{00000000-0006-0000-0B00-000023000000}">
      <text>
        <r>
          <rPr>
            <sz val="11"/>
            <rFont val="Calibri"/>
          </rPr>
          <t>All ESXi host-connected virtual switch VLANs must be fully documented and have only the required VLANs.</t>
        </r>
      </text>
    </comment>
    <comment ref="J411" authorId="0" shapeId="0" xr:uid="{00000000-0006-0000-0B00-000024000000}">
      <text>
        <r>
          <rPr>
            <sz val="11"/>
            <rFont val="Calibri"/>
          </rPr>
          <t>The vCenter Server for Windows must configure all port groups to a value other than that of the native VLAN.</t>
        </r>
      </text>
    </comment>
    <comment ref="H412" authorId="0" shapeId="0" xr:uid="{00000000-0006-0000-0B00-000025000000}">
      <text>
        <r>
          <rPr>
            <sz val="11"/>
            <rFont val="Calibri"/>
          </rPr>
          <t>The ESXi host must protect the confidentiality and integrity of transmitted information by protecting IP based management traffic.</t>
        </r>
      </text>
    </comment>
    <comment ref="I412" authorId="0" shapeId="0" xr:uid="{00000000-0006-0000-0B00-000026000000}">
      <text>
        <r>
          <rPr>
            <sz val="11"/>
            <rFont val="Calibri"/>
          </rPr>
          <t>The vCenter Server for Windows must protect the confidentiality and integrity of transmitted information by isolating IP-based storage traffic.</t>
        </r>
      </text>
    </comment>
    <comment ref="H413" authorId="0" shapeId="0" xr:uid="{00000000-0006-0000-0B00-000027000000}">
      <text>
        <r>
          <rPr>
            <sz val="11"/>
            <rFont val="Calibri"/>
          </rPr>
          <t>The ESXi host must protect the confidentiality and integrity of transmitted information by isolating vMotion traffic.</t>
        </r>
      </text>
    </comment>
  </commentList>
</comments>
</file>

<file path=xl/sharedStrings.xml><?xml version="1.0" encoding="utf-8"?>
<sst xmlns="http://schemas.openxmlformats.org/spreadsheetml/2006/main" count="13776" uniqueCount="6570">
  <si>
    <t>Id</t>
  </si>
  <si>
    <t>Title</t>
  </si>
  <si>
    <t>Severity</t>
  </si>
  <si>
    <t>Component</t>
  </si>
  <si>
    <t>MoSCoW</t>
  </si>
  <si>
    <t>OpsImpact</t>
  </si>
  <si>
    <t>Phase</t>
  </si>
  <si>
    <t>ImplStatus</t>
  </si>
  <si>
    <t>Notes</t>
  </si>
  <si>
    <t>Remediation</t>
  </si>
  <si>
    <t>Description</t>
  </si>
  <si>
    <t>Audit</t>
  </si>
  <si>
    <t>Status</t>
  </si>
  <si>
    <t>LogID</t>
  </si>
  <si>
    <t>V-207602</t>
  </si>
  <si>
    <r>
      <rPr>
        <sz val="11"/>
        <rFont val="Calibri"/>
      </rPr>
      <t>The ESXi host must limit the number of concurrent sessions to ten for all accounts and/or account types by enabling lockdown mode.</t>
    </r>
  </si>
  <si>
    <t>CAT II (Medium)</t>
  </si>
  <si>
    <t>VMware vSphere 6.5 ESXi</t>
  </si>
  <si>
    <t>Unassigned</t>
  </si>
  <si>
    <t>Unassessed</t>
  </si>
  <si>
    <t>Pending</t>
  </si>
  <si>
    <t/>
  </si>
  <si>
    <r>
      <rPr>
        <sz val="11"/>
        <color rgb="FF000000"/>
        <rFont val="Calibri"/>
      </rPr>
      <t>From the vSphere Web Client select the ESXi Host and go to Configure &gt;&gt; System &gt;&gt; Security Profile. Click edit on "Lockdown Mode" and set to Enabled (Normal or Strict).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$level = "lockdownNormal" OR "lockdownStrict"</t>
    </r>
    <r>
      <rPr>
        <sz val="11"/>
        <color rgb="FF000000"/>
        <rFont val="Calibri"/>
      </rPr>
      <t xml:space="preserve">
</t>
    </r>
    <r>
      <rPr>
        <sz val="11"/>
        <color rgb="FF000000"/>
        <rFont val="Calibri"/>
      </rPr>
      <t>$vmhost = Get-VMHost -Name &lt;hostname&gt; | Get-View</t>
    </r>
    <r>
      <rPr>
        <sz val="11"/>
        <color rgb="FF000000"/>
        <rFont val="Calibri"/>
      </rPr>
      <t xml:space="preserve">
</t>
    </r>
    <r>
      <rPr>
        <sz val="11"/>
        <color rgb="FF000000"/>
        <rFont val="Calibri"/>
      </rPr>
      <t>$lockdown = Get-View $vmhost.ConfigManager.HostAccessManager</t>
    </r>
    <r>
      <rPr>
        <sz val="11"/>
        <color rgb="FF000000"/>
        <rFont val="Calibri"/>
      </rPr>
      <t xml:space="preserve">
</t>
    </r>
    <r>
      <rPr>
        <sz val="11"/>
        <color rgb="FF000000"/>
        <rFont val="Calibri"/>
      </rPr>
      <t>$lockdown.ChangeLockdownMode($level)</t>
    </r>
    <r>
      <rPr>
        <sz val="11"/>
        <color rgb="FF000000"/>
        <rFont val="Calibri"/>
      </rPr>
      <t xml:space="preserve">
</t>
    </r>
    <r>
      <rPr>
        <sz val="11"/>
        <color rgb="FF000000"/>
        <rFont val="Calibri"/>
      </rPr>
      <t>Note: In strict lockdown mode the DCUI service is stopped. If the connection to vCenter Server is lost and the vSphere Web Client is no longer available, the ESXi host becomes inaccessible.</t>
    </r>
  </si>
  <si>
    <r>
      <rPr>
        <sz val="11"/>
        <color rgb="FF000000"/>
        <rFont val="Calibri"/>
      </rPr>
      <t>Enabling lockdown mode disables direct access to an ESXi host requiring the host be managed remotely from vCenter Server. This is done to ensure the roles and access controls implemented in vCenter are always enforced and users cannot bypass them by logging into a host directly. By forcing all interaction to occur through vCenter Server, the risk of someone inadvertently attaining elevated privileges or performing tasks that are not properly audited is greatly reduced.</t>
    </r>
  </si>
  <si>
    <r>
      <rPr>
        <sz val="11"/>
        <color rgb="FF000000"/>
        <rFont val="Calibri"/>
      </rPr>
      <t>From the vSphere Web Client select the ESXi Host and go to Configure &gt;&gt; System &gt;&gt; Security Profile.  Scroll down to "Lockdown Mode" and verify it is set to Enabled (Normal or Strict).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Select Name,@{N="Lockdown";E={$_.Extensiondata.Config.LockdownMode}}</t>
    </r>
    <r>
      <rPr>
        <sz val="11"/>
        <color rgb="FF000000"/>
        <rFont val="Calibri"/>
      </rPr>
      <t xml:space="preserve">
</t>
    </r>
    <r>
      <rPr>
        <sz val="11"/>
        <color rgb="FF000000"/>
        <rFont val="Calibri"/>
      </rPr>
      <t xml:space="preserve">If Lockdown Mode is disabled, this is a finding. </t>
    </r>
    <r>
      <rPr>
        <sz val="11"/>
        <color rgb="FF000000"/>
        <rFont val="Calibri"/>
      </rPr>
      <t xml:space="preserve">
</t>
    </r>
    <r>
      <rPr>
        <sz val="11"/>
        <color rgb="FF000000"/>
        <rFont val="Calibri"/>
      </rPr>
      <t>For environments that do not use vCenter server to manage ESXi, this is not applicable.</t>
    </r>
  </si>
  <si>
    <t>V-207603</t>
  </si>
  <si>
    <r>
      <rPr>
        <sz val="11"/>
        <rFont val="Calibri"/>
      </rPr>
      <t>The ESXi host must verify the DCUI.Access list.</t>
    </r>
  </si>
  <si>
    <t>CAT III (Low)</t>
  </si>
  <si>
    <r>
      <rPr>
        <sz val="11"/>
        <color rgb="FF000000"/>
        <rFont val="Calibri"/>
      </rPr>
      <t>From the vSphere Web Client select the ESXi Host and go to Configure &gt;&gt; System &gt;&gt; Advanced System Settings.  Click Edit and select the DCUI.Access value and configure it to root.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DCUI.Access | Set-AdvancedSetting -Value "root"</t>
    </r>
  </si>
  <si>
    <r>
      <rPr>
        <sz val="11"/>
        <color rgb="FF000000"/>
        <rFont val="Calibri"/>
      </rPr>
      <t>Lockdown mode disables direct host access requiring that admins manage hosts from vCenter Server.  However, if a host becomes isolated from vCenter Server, the admin is locked out and can no longer manage the host. If you are using normal lockdown mode, you can avoid becoming locked out of an ESXi host that is running in lockdown mode, by setting DCUI.Access to a list of highly trusted users who can override lockdown mode and access the DCUI. The DCUI is not running in strict lockdown mode.</t>
    </r>
  </si>
  <si>
    <r>
      <rPr>
        <sz val="11"/>
        <color rgb="FF000000"/>
        <rFont val="Calibri"/>
      </rPr>
      <t>From the vSphere Web Client select the ESXi Host and go to Configure &gt;&gt; System &gt;&gt; Advanced System Settings.  Select the DCUI.Access value and verify only the root user is listed.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DCUI.Access and verify it is set to root.</t>
    </r>
    <r>
      <rPr>
        <sz val="11"/>
        <color rgb="FF000000"/>
        <rFont val="Calibri"/>
      </rPr>
      <t xml:space="preserve">
</t>
    </r>
    <r>
      <rPr>
        <sz val="11"/>
        <color rgb="FF000000"/>
        <rFont val="Calibri"/>
      </rPr>
      <t>If the DCUI.Access is not restricted to root, this is a finding.</t>
    </r>
    <r>
      <rPr>
        <sz val="11"/>
        <color rgb="FF000000"/>
        <rFont val="Calibri"/>
      </rPr>
      <t xml:space="preserve">
</t>
    </r>
    <r>
      <rPr>
        <sz val="11"/>
        <color rgb="FF000000"/>
        <rFont val="Calibri"/>
      </rPr>
      <t>Note: This list is only for local user accounts and should only contain the root user.</t>
    </r>
    <r>
      <rPr>
        <sz val="11"/>
        <color rgb="FF000000"/>
        <rFont val="Calibri"/>
      </rPr>
      <t xml:space="preserve">
</t>
    </r>
    <r>
      <rPr>
        <sz val="11"/>
        <color rgb="FF000000"/>
        <rFont val="Calibri"/>
      </rPr>
      <t>For environments that do not use vCenter server to manage ESXi, this is not applicable.</t>
    </r>
  </si>
  <si>
    <t>V-207604</t>
  </si>
  <si>
    <r>
      <rPr>
        <sz val="11"/>
        <rFont val="Calibri"/>
      </rPr>
      <t>The ESXi host must verify the exception users list for lockdown mode.</t>
    </r>
  </si>
  <si>
    <r>
      <rPr>
        <sz val="11"/>
        <color rgb="FF000000"/>
        <rFont val="Calibri"/>
      </rPr>
      <t>From the vSphere Web Client select the ESXi Host and go to Configure &gt;&gt; System &gt;&gt; Security Profile.  Under lockdown mode click Edit and remove unnecessary users to the exceptions list.</t>
    </r>
  </si>
  <si>
    <r>
      <rPr>
        <sz val="11"/>
        <color rgb="FF000000"/>
        <rFont val="Calibri"/>
      </rPr>
      <t>In vSphere you can add users to the Exception Users list from the vSphere Web Client. These users do not lose their permissions when the host enters lockdown mode. Usually you may want to add service accounts such as a backup agent to the Exception Users list. Verify that the list of users who are exempted from losing permissions is legitimate and as needed per your environment. Users who do not require special permissions should not be exempted from lockdown mode.</t>
    </r>
  </si>
  <si>
    <r>
      <rPr>
        <sz val="11"/>
        <color rgb="FF000000"/>
        <rFont val="Calibri"/>
      </rPr>
      <t>From the vSphere Web Client select the ESXi Host and go to Configure &gt;&gt; System &gt;&gt; Security Profile.  Under lockdown mode review the exception users list.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script:</t>
    </r>
    <r>
      <rPr>
        <sz val="11"/>
        <color rgb="FF000000"/>
        <rFont val="Calibri"/>
      </rPr>
      <t xml:space="preserve">
</t>
    </r>
    <r>
      <rPr>
        <sz val="11"/>
        <color rgb="FF000000"/>
        <rFont val="Calibri"/>
      </rPr>
      <t>$vmhost = Get-VMHost | Get-View</t>
    </r>
    <r>
      <rPr>
        <sz val="11"/>
        <color rgb="FF000000"/>
        <rFont val="Calibri"/>
      </rPr>
      <t xml:space="preserve">
</t>
    </r>
    <r>
      <rPr>
        <sz val="11"/>
        <color rgb="FF000000"/>
        <rFont val="Calibri"/>
      </rPr>
      <t>$lockdown = Get-View $vmhost.ConfigManager.HostAccessManager</t>
    </r>
    <r>
      <rPr>
        <sz val="11"/>
        <color rgb="FF000000"/>
        <rFont val="Calibri"/>
      </rPr>
      <t xml:space="preserve">
</t>
    </r>
    <r>
      <rPr>
        <sz val="11"/>
        <color rgb="FF000000"/>
        <rFont val="Calibri"/>
      </rPr>
      <t>$lockdown.QueryLockdownExceptions()</t>
    </r>
    <r>
      <rPr>
        <sz val="11"/>
        <color rgb="FF000000"/>
        <rFont val="Calibri"/>
      </rPr>
      <t xml:space="preserve">
</t>
    </r>
    <r>
      <rPr>
        <sz val="11"/>
        <color rgb="FF000000"/>
        <rFont val="Calibri"/>
      </rPr>
      <t>If the Exception users list contains accounts that do not require special permissions, this is a finding.</t>
    </r>
    <r>
      <rPr>
        <sz val="11"/>
        <color rgb="FF000000"/>
        <rFont val="Calibri"/>
      </rPr>
      <t xml:space="preserve">
</t>
    </r>
    <r>
      <rPr>
        <sz val="11"/>
        <color rgb="FF000000"/>
        <rFont val="Calibri"/>
      </rPr>
      <t>Note - This list is not intended for system administrator accounts but for special circumstances such as a service account.</t>
    </r>
    <r>
      <rPr>
        <sz val="11"/>
        <color rgb="FF000000"/>
        <rFont val="Calibri"/>
      </rPr>
      <t xml:space="preserve">
</t>
    </r>
    <r>
      <rPr>
        <sz val="11"/>
        <color rgb="FF000000"/>
        <rFont val="Calibri"/>
      </rPr>
      <t>For environments that do not use vCenter server to manage ESXi, this is not applicable.</t>
    </r>
  </si>
  <si>
    <t>V-207605</t>
  </si>
  <si>
    <r>
      <rPr>
        <sz val="11"/>
        <rFont val="Calibri"/>
      </rPr>
      <t>Remote logging for ESXi hosts must be configured.</t>
    </r>
  </si>
  <si>
    <r>
      <rPr>
        <sz val="11"/>
        <color rgb="FF000000"/>
        <rFont val="Calibri"/>
      </rPr>
      <t>From the vSphere Web Client select the ESXi Host and go to Configure &gt;&gt; System &gt;&gt; Advanced System Settings. Click Edit and select the Syslog.global.logHost value and configure it to a site specific syslog server.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Syslog.global.logHost | Set-AdvancedSetting -Value "&lt;syslog server hostname&gt;"</t>
    </r>
  </si>
  <si>
    <r>
      <rPr>
        <sz val="11"/>
        <color rgb="FF000000"/>
        <rFont val="Calibri"/>
      </rPr>
      <t>Remote logging to a central log host provides a secure, centralized store for ESXi logs. By gathering host log files onto a central host it can more easily monitor all hosts with a single tool. It can also do aggregate analysis and searching to look for such things as coordinated attacks on multiple hosts. Logging to a secure, centralized log server also helps prevent log tampering and also provides a long-term audit record.</t>
    </r>
  </si>
  <si>
    <r>
      <rPr>
        <sz val="11"/>
        <color rgb="FF000000"/>
        <rFont val="Calibri"/>
      </rPr>
      <t>From the vSphere Web Client select the ESXi Host and go to Configure &gt;&gt; System &gt;&gt; Advanced System Settings.  Select the Syslog.global.logHost value and verify it is set to a site specific syslog server hostname.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Syslog.global.logHost</t>
    </r>
    <r>
      <rPr>
        <sz val="11"/>
        <color rgb="FF000000"/>
        <rFont val="Calibri"/>
      </rPr>
      <t xml:space="preserve">
</t>
    </r>
    <r>
      <rPr>
        <sz val="11"/>
        <color rgb="FF000000"/>
        <rFont val="Calibri"/>
      </rPr>
      <t>If the Syslog.global.logHost setting is not set to a site specific syslog server, this is a finding.</t>
    </r>
  </si>
  <si>
    <t>V-207606</t>
  </si>
  <si>
    <r>
      <rPr>
        <sz val="11"/>
        <rFont val="Calibri"/>
      </rPr>
      <t>The ESXi host must enforce the limit of three consecutive invalid logon attempts by a user.</t>
    </r>
  </si>
  <si>
    <r>
      <rPr>
        <sz val="11"/>
        <color rgb="FF000000"/>
        <rFont val="Calibri"/>
      </rPr>
      <t>From the vSphere Web Client select the ESXi Host and go to Configure &gt;&gt; System &gt;&gt; Advanced System Settings. Click Edit and select the Security.AccountLockFailures value and configure it to 3.</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Security.AccountLockFailures | Set-AdvancedSetting -Value 3</t>
    </r>
  </si>
  <si>
    <r>
      <rPr>
        <sz val="11"/>
        <color rgb="FF000000"/>
        <rFont val="Calibri"/>
      </rPr>
      <t>By limiting the number of failed login attempts, the risk of unauthorized access via user password guessing, otherwise known as brute-forcing, is reduced. Limits are imposed by locking the account.</t>
    </r>
  </si>
  <si>
    <r>
      <rPr>
        <sz val="11"/>
        <color rgb="FF000000"/>
        <rFont val="Calibri"/>
      </rPr>
      <t>From the vSphere Web Client select the ESXi Host and go to Configure &gt;&gt; System &gt;&gt; Advanced System Settings.  Select the Security.AccountLockFailures value and verify it is set to 3.</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Security.AccountLockFailures and verify it is set to 3.</t>
    </r>
    <r>
      <rPr>
        <sz val="11"/>
        <color rgb="FF000000"/>
        <rFont val="Calibri"/>
      </rPr>
      <t xml:space="preserve">
</t>
    </r>
    <r>
      <rPr>
        <sz val="11"/>
        <color rgb="FF000000"/>
        <rFont val="Calibri"/>
      </rPr>
      <t>If the Security.AccountLockFailures is set to a value other than 3, this is a finding.</t>
    </r>
  </si>
  <si>
    <t>V-207607</t>
  </si>
  <si>
    <r>
      <rPr>
        <sz val="11"/>
        <rFont val="Calibri"/>
      </rPr>
      <t>The ESXi host must enforce the unlock timeout of 15 minutes after a user account is locked out.</t>
    </r>
  </si>
  <si>
    <r>
      <rPr>
        <sz val="11"/>
        <color rgb="FF000000"/>
        <rFont val="Calibri"/>
      </rPr>
      <t>From the vSphere Web Client select the ESXi Host and go to Configure &gt;&gt; System &gt;&gt; Advanced System Settings. Click Edit and select the Security.AccountUnlockTime value and configure it to 900.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Security.AccountUnlockTime | Set-AdvancedSetting -Value 900</t>
    </r>
  </si>
  <si>
    <r>
      <rPr>
        <sz val="11"/>
        <color rgb="FF000000"/>
        <rFont val="Calibri"/>
      </rPr>
      <t>From the vSphere Web Client select the ESXi Host and go to Configure &gt;&gt; System &gt;&gt; Advanced System Settings.  Select the Security.AccountUnlockTime value and verify it is set to 900.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Security.AccountUnlockTime and verify it is set to 900.</t>
    </r>
    <r>
      <rPr>
        <sz val="11"/>
        <color rgb="FF000000"/>
        <rFont val="Calibri"/>
      </rPr>
      <t xml:space="preserve">
</t>
    </r>
    <r>
      <rPr>
        <sz val="11"/>
        <color rgb="FF000000"/>
        <rFont val="Calibri"/>
      </rPr>
      <t>If the Security.AccountUnlockTime is set to a value other than 900, this is a finding.</t>
    </r>
  </si>
  <si>
    <t>V-207608</t>
  </si>
  <si>
    <r>
      <rPr>
        <sz val="11"/>
        <rFont val="Calibri"/>
      </rPr>
      <t>The ESXi host must display the Standard Mandatory DoD Notice and Consent Banner before granting access to the system.</t>
    </r>
  </si>
  <si>
    <r>
      <rPr>
        <sz val="11"/>
        <color rgb="FF000000"/>
        <rFont val="Calibri"/>
      </rPr>
      <t>From a PowerCLI command prompt while connected to the ESXi host copy the following contents into a script(.ps1 file) and run to set the DCUI screen to display the DoD logon banner:</t>
    </r>
    <r>
      <rPr>
        <sz val="11"/>
        <color rgb="FF000000"/>
        <rFont val="Calibri"/>
      </rPr>
      <t xml:space="preserve">
</t>
    </r>
    <r>
      <rPr>
        <sz val="11"/>
        <color rgb="FF000000"/>
        <rFont val="Calibri"/>
      </rPr>
      <t>&lt;script begin&gt;</t>
    </r>
    <r>
      <rPr>
        <sz val="11"/>
        <color rgb="FF000000"/>
        <rFont val="Calibri"/>
      </rPr>
      <t xml:space="preserve">
</t>
    </r>
    <r>
      <rPr>
        <sz val="11"/>
        <color rgb="FF000000"/>
        <rFont val="Calibri"/>
      </rPr>
      <t>$value = @"</t>
    </r>
    <r>
      <rPr>
        <sz val="11"/>
        <color rgb="FF000000"/>
        <rFont val="Calibri"/>
      </rPr>
      <t xml:space="preserve">
</t>
    </r>
    <r>
      <rPr>
        <sz val="11"/>
        <color rgb="FF000000"/>
        <rFont val="Calibri"/>
      </rPr>
      <t>{bgcolor:black} {/color}{align:left}{bgcolor:black}{color:yellow}{hostname} , {ip}{/color}{/bgcolor}{/align}</t>
    </r>
    <r>
      <rPr>
        <sz val="11"/>
        <color rgb="FF000000"/>
        <rFont val="Calibri"/>
      </rPr>
      <t xml:space="preserve">
</t>
    </r>
    <r>
      <rPr>
        <sz val="11"/>
        <color rgb="FF000000"/>
        <rFont val="Calibri"/>
      </rPr>
      <t>{bgcolor:black} {/color}{align:left}{bgcolor:black}{color:yellow}{esxproduct} {esxversion}{/color}{/bgcolor}{/align}</t>
    </r>
    <r>
      <rPr>
        <sz val="11"/>
        <color rgb="FF000000"/>
        <rFont val="Calibri"/>
      </rPr>
      <t xml:space="preserve">
</t>
    </r>
    <r>
      <rPr>
        <sz val="11"/>
        <color rgb="FF000000"/>
        <rFont val="Calibri"/>
      </rPr>
      <t>{bgcolor:black} {/color}{align:left}{bgcolor:black}{color:yellow}{memory} RAM{/color}{/bgcolor}{/align}</t>
    </r>
    <r>
      <rPr>
        <sz val="11"/>
        <color rgb="FF000000"/>
        <rFont val="Calibri"/>
      </rPr>
      <t xml:space="preserve">
</t>
    </r>
    <r>
      <rPr>
        <sz val="11"/>
        <color rgb="FF000000"/>
        <rFont val="Calibri"/>
      </rPr>
      <t>{bgcolor:black} {/color}{align:left}{bgcolor:black}{color:white}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You are accessing a U.S. Government (USG) Information System (IS) that is provided for USG-authorized use only. By      {/color}{/bgcolor}{/align}</t>
    </r>
    <r>
      <rPr>
        <sz val="11"/>
        <color rgb="FF000000"/>
        <rFont val="Calibri"/>
      </rPr>
      <t xml:space="preserve">
</t>
    </r>
    <r>
      <rPr>
        <sz val="11"/>
        <color rgb="FF000000"/>
        <rFont val="Calibri"/>
      </rPr>
      <t>{bgcolor:black} {/color}{align:left}{bgcolor:yellow}{color:black}  using this IS (which includes any device attached to this IS), you consent to the following conditions: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The USG routinely intercepts and monitors communications on this IS for purposes including, but not limited     {/color}{/bgcolor}{/align}</t>
    </r>
    <r>
      <rPr>
        <sz val="11"/>
        <color rgb="FF000000"/>
        <rFont val="Calibri"/>
      </rPr>
      <t xml:space="preserve">
</t>
    </r>
    <r>
      <rPr>
        <sz val="11"/>
        <color rgb="FF000000"/>
        <rFont val="Calibri"/>
      </rPr>
      <t>{bgcolor:black} {/color}{align:left}{bgcolor:yellow}{color:black}          to, penetration testing, COMSEC monitoring, network operations and defense, personnel misconduct (PM), law      {/color}{/bgcolor}{/align}</t>
    </r>
    <r>
      <rPr>
        <sz val="11"/>
        <color rgb="FF000000"/>
        <rFont val="Calibri"/>
      </rPr>
      <t xml:space="preserve">
</t>
    </r>
    <r>
      <rPr>
        <sz val="11"/>
        <color rgb="FF000000"/>
        <rFont val="Calibri"/>
      </rPr>
      <t>{bgcolor:black} {/color}{align:left}{bgcolor:yellow}{color:black}          enforcement (LE), and counterintelligence (CI) investigations.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At any time, the USG may inspect and seize data stored on this IS.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Communications using, or data stored on, this IS are not private, are subject to routine monitoring,            {/color}{/bgcolor}{/align}</t>
    </r>
    <r>
      <rPr>
        <sz val="11"/>
        <color rgb="FF000000"/>
        <rFont val="Calibri"/>
      </rPr>
      <t xml:space="preserve">
</t>
    </r>
    <r>
      <rPr>
        <sz val="11"/>
        <color rgb="FF000000"/>
        <rFont val="Calibri"/>
      </rPr>
      <t>{bgcolor:black} {/color}{align:left}{bgcolor:yellow}{color:black}          interception, and search, and may be disclosed or used for any USG-authorized purpose.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This IS includes security measures (e.g., authentication and access controls) to protect USG interests--not     {/color}{/bgcolor}{/align}</t>
    </r>
    <r>
      <rPr>
        <sz val="11"/>
        <color rgb="FF000000"/>
        <rFont val="Calibri"/>
      </rPr>
      <t xml:space="preserve">
</t>
    </r>
    <r>
      <rPr>
        <sz val="11"/>
        <color rgb="FF000000"/>
        <rFont val="Calibri"/>
      </rPr>
      <t>{bgcolor:black} {/color}{align:left}{bgcolor:yellow}{color:black}          for your personal benefit or privacy.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Notwithstanding the above, using this IS does not constitute consent to PM, LE or CI investigative searching    {/color}{/bgcolor}{/align}</t>
    </r>
    <r>
      <rPr>
        <sz val="11"/>
        <color rgb="FF000000"/>
        <rFont val="Calibri"/>
      </rPr>
      <t xml:space="preserve">
</t>
    </r>
    <r>
      <rPr>
        <sz val="11"/>
        <color rgb="FF000000"/>
        <rFont val="Calibri"/>
      </rPr>
      <t>{bgcolor:black} {/color}{align:left}{bgcolor:yellow}{color:black}          or monitoring of the content of privileged communications, or work product, related to personal representation  {/color}{/bgcolor}{/align}</t>
    </r>
    <r>
      <rPr>
        <sz val="11"/>
        <color rgb="FF000000"/>
        <rFont val="Calibri"/>
      </rPr>
      <t xml:space="preserve">
</t>
    </r>
    <r>
      <rPr>
        <sz val="11"/>
        <color rgb="FF000000"/>
        <rFont val="Calibri"/>
      </rPr>
      <t>{bgcolor:black} {/color}{align:left}{bgcolor:yellow}{color:black}          or services by attorneys, psychotherapists, or clergy, and their assistants. Such communications and work       {/color}{/bgcolor}{/align}</t>
    </r>
    <r>
      <rPr>
        <sz val="11"/>
        <color rgb="FF000000"/>
        <rFont val="Calibri"/>
      </rPr>
      <t xml:space="preserve">
</t>
    </r>
    <r>
      <rPr>
        <sz val="11"/>
        <color rgb="FF000000"/>
        <rFont val="Calibri"/>
      </rPr>
      <t>{bgcolor:black} {/color}{align:left}{bgcolor:yellow}{color:black}          product are private and confidential. See User Agreement for details.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{/color}{align:left}{bgcolor:dark-grey}{color:white}  &lt;F2&gt; Accept Conditions and Customize System / View Logs{/align}{align:right}&lt;F12&gt; Accept Conditions and Shut Down/Restart  {bgcolor:black} {/color}{/color}{/bgcolor}{/align}</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t>
    </r>
    <r>
      <rPr>
        <sz val="11"/>
        <color rgb="FF000000"/>
        <rFont val="Calibri"/>
      </rPr>
      <t xml:space="preserve">
</t>
    </r>
    <r>
      <rPr>
        <sz val="11"/>
        <color rgb="FF000000"/>
        <rFont val="Calibri"/>
      </rPr>
      <t>Get-VMHost | Get-AdvancedSetting -Name Annotations.WelcomeMessage | Set-AdvancedSetting -Value $value</t>
    </r>
    <r>
      <rPr>
        <sz val="11"/>
        <color rgb="FF000000"/>
        <rFont val="Calibri"/>
      </rPr>
      <t xml:space="preserve">
</t>
    </r>
    <r>
      <rPr>
        <sz val="11"/>
        <color rgb="FF000000"/>
        <rFont val="Calibri"/>
      </rPr>
      <t>&lt;script end&gt;</t>
    </r>
  </si>
  <si>
    <r>
      <rPr>
        <sz val="11"/>
        <color rgb="FF000000"/>
        <rFont val="Calibri"/>
      </rPr>
      <t>Failure to display the DoD logon banner prior to a log in attempt will negate legal proceedings resulting from unauthorized access to system resources.</t>
    </r>
  </si>
  <si>
    <r>
      <rPr>
        <sz val="11"/>
        <color rgb="FF000000"/>
        <rFont val="Calibri"/>
      </rPr>
      <t>From the vSphere Web Client select the ESXi Host and go to Configure &gt;&gt; System &gt;&gt; Advanced System Settings. Select the Annotations.WelcomeMessage value and verify it contains the DoD logon banner to follow.</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Annotations.WelcomeMessage</t>
    </r>
    <r>
      <rPr>
        <sz val="11"/>
        <color rgb="FF000000"/>
        <rFont val="Calibri"/>
      </rPr>
      <t xml:space="preserve">
</t>
    </r>
    <r>
      <rPr>
        <sz val="11"/>
        <color rgb="FF000000"/>
        <rFont val="Calibri"/>
      </rPr>
      <t>Check for either of the following login banners based on the character limitations imposed by the system. An exact match of the text is required. If one of these banners is not displayed,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the DCUI logon screen does not display the DoD logon banner, this is a finding.</t>
    </r>
  </si>
  <si>
    <t>V-207609</t>
  </si>
  <si>
    <r>
      <rPr>
        <sz val="11"/>
        <color rgb="FF000000"/>
        <rFont val="Calibri"/>
      </rPr>
      <t>From the vSphere Web Client select the ESXi Host and go to Configure &gt;&gt; System &gt;&gt; Advanced System Settings. Click Edit and select the Config.Etc.issue value and set it to the following.</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Config.Etc.issue | Set-AdvancedSetting -Value "&lt;insert logon banner&gt;"</t>
    </r>
  </si>
  <si>
    <r>
      <rPr>
        <sz val="11"/>
        <color rgb="FF000000"/>
        <rFont val="Calibri"/>
      </rPr>
      <t>From the vSphere Web Client select the ESXi Host and go to Configure &gt;&gt; System &gt;&gt; Advanced System Settings.  Select the Config.Etc.issue value and verify it is set to DoD logon banner below.</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Config.Etc.issue</t>
    </r>
    <r>
      <rPr>
        <sz val="11"/>
        <color rgb="FF000000"/>
        <rFont val="Calibri"/>
      </rPr>
      <t xml:space="preserve">
</t>
    </r>
    <r>
      <rPr>
        <sz val="11"/>
        <color rgb="FF000000"/>
        <rFont val="Calibri"/>
      </rPr>
      <t>If the Config.Etc.issue setting (/etc/issue file) does not contain the logon banner exactly as shown below this is a finding.</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</si>
  <si>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V-207610</t>
  </si>
  <si>
    <r>
      <rPr>
        <sz val="11"/>
        <rFont val="Calibri"/>
      </rPr>
      <t>The ESXi host SSH daemon must be configured with the Department of Defense (DoD) login banner.</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</si>
  <si>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Banner /etc/issue</t>
    </r>
  </si>
  <si>
    <r>
      <rPr>
        <sz val="11"/>
        <color rgb="FF000000"/>
        <rFont val="Calibri"/>
      </rPr>
      <t>The warning message reinforces policy awareness during the logon process and facilitates possible legal action against attackers. Alternatively, systems whose ownership should not be obvious should ensure usage of a banner that does not provide easy attribution.</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</si>
  <si>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"^Banner" /etc/ssh/sshd_config</t>
    </r>
    <r>
      <rPr>
        <sz val="11"/>
        <color rgb="FF000000"/>
        <rFont val="Calibri"/>
      </rPr>
      <t xml:space="preserve">
</t>
    </r>
    <r>
      <rPr>
        <sz val="11"/>
        <color rgb="FF000000"/>
        <rFont val="Calibri"/>
      </rPr>
      <t>If there is no output or the output is not exactly "Banner /etc/issue", this is a finding.</t>
    </r>
  </si>
  <si>
    <t>V-207611</t>
  </si>
  <si>
    <r>
      <rPr>
        <sz val="11"/>
        <rFont val="Calibri"/>
      </rPr>
      <t>The ESXi host SSH daemon must use DoD-approved encryption to protect the confidentiality of remote access sessions.</t>
    </r>
  </si>
  <si>
    <r>
      <rPr>
        <sz val="11"/>
        <color rgb="FF000000"/>
        <rFont val="Calibri"/>
      </rPr>
      <t xml:space="preserve">Limit the ciphers to those algorithms which are FIPS-approved. Counter (CTR) mode is also preferred over cipher-block chaining (CBC) mode. </t>
    </r>
    <r>
      <rPr>
        <sz val="11"/>
        <color rgb="FF000000"/>
        <rFont val="Calibri"/>
      </rPr>
      <t xml:space="preserve">
</t>
    </r>
    <r>
      <rPr>
        <sz val="11"/>
        <color rgb="FF000000"/>
        <rFont val="Calibri"/>
      </rPr>
      <t xml:space="preserve">From an SSH session connected to the ESXi host, or from the ESXi shell, add or correct the following line in "/etc/ssh/sshd_config": </t>
    </r>
    <r>
      <rPr>
        <sz val="11"/>
        <color rgb="FF000000"/>
        <rFont val="Calibri"/>
      </rPr>
      <t xml:space="preserve">
</t>
    </r>
    <r>
      <rPr>
        <sz val="11"/>
        <color rgb="FF000000"/>
        <rFont val="Calibri"/>
      </rPr>
      <t>Ciphers aes256-ctr,aes192-ctr,aes128-ctr</t>
    </r>
  </si>
  <si>
    <r>
      <rPr>
        <sz val="11"/>
        <color rgb="FF000000"/>
        <rFont val="Calibri"/>
      </rPr>
      <t>Approved algorithms should impart some level of confidence in their implementation. Limit the ciphers to those algorithms which are FIPS-approved. Counter (CTR) mode is also preferred over cipher-block chaining (CBC) mode.</t>
    </r>
    <r>
      <rPr>
        <sz val="11"/>
        <color rgb="FF000000"/>
        <rFont val="Calibri"/>
      </rPr>
      <t xml:space="preserve">
</t>
    </r>
    <r>
      <rPr>
        <sz val="11"/>
        <color rgb="FF000000"/>
        <rFont val="Calibri"/>
      </rPr>
      <t>Note: This does not imply FIPS 140-2 validation.</t>
    </r>
  </si>
  <si>
    <r>
      <rPr>
        <sz val="11"/>
        <color rgb="FF000000"/>
        <rFont val="Calibri"/>
      </rPr>
      <t xml:space="preserve">Only FIPS-approved ciphers should be used. To verify that only FIPS-approved ciphers are in use, run the following command from an SSH session connected to the ESXi host, or from the ESXi shell: </t>
    </r>
    <r>
      <rPr>
        <sz val="11"/>
        <color rgb="FF000000"/>
        <rFont val="Calibri"/>
      </rPr>
      <t xml:space="preserve">
</t>
    </r>
    <r>
      <rPr>
        <sz val="11"/>
        <color rgb="FF000000"/>
        <rFont val="Calibri"/>
      </rPr>
      <t># grep -i "^Ciphers" /etc/ssh/sshd_config</t>
    </r>
    <r>
      <rPr>
        <sz val="11"/>
        <color rgb="FF000000"/>
        <rFont val="Calibri"/>
      </rPr>
      <t xml:space="preserve">
</t>
    </r>
    <r>
      <rPr>
        <sz val="11"/>
        <color rgb="FF000000"/>
        <rFont val="Calibri"/>
      </rPr>
      <t>If there is no output or the output is not exactly "Ciphers aes256-ctr,aes192-ctr,aes128-ctr", this is a finding.</t>
    </r>
  </si>
  <si>
    <t>V-207612</t>
  </si>
  <si>
    <r>
      <rPr>
        <sz val="11"/>
        <rFont val="Calibri"/>
      </rPr>
      <t>The ESXi host SSH daemon must be configured to use only the SSHv2 protocol.</t>
    </r>
  </si>
  <si>
    <t>CAT I (High)</t>
  </si>
  <si>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Add or correct the following line in "/etc/ssh/sshd_config":</t>
    </r>
    <r>
      <rPr>
        <sz val="11"/>
        <color rgb="FF000000"/>
        <rFont val="Calibri"/>
      </rPr>
      <t xml:space="preserve">
</t>
    </r>
    <r>
      <rPr>
        <sz val="11"/>
        <color rgb="FF000000"/>
        <rFont val="Calibri"/>
      </rPr>
      <t>Protocol 2</t>
    </r>
  </si>
  <si>
    <r>
      <rPr>
        <sz val="11"/>
        <color rgb="FF000000"/>
        <rFont val="Calibri"/>
      </rPr>
      <t>SSH protocol version 1 suffers from design flaws that result in security vulnerabilities and should not be used. Only SSH protocol version 2 connections should be permitted.</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</si>
  <si>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"^Protocol" /etc/ssh/sshd_config</t>
    </r>
    <r>
      <rPr>
        <sz val="11"/>
        <color rgb="FF000000"/>
        <rFont val="Calibri"/>
      </rPr>
      <t xml:space="preserve">
</t>
    </r>
    <r>
      <rPr>
        <sz val="11"/>
        <color rgb="FF000000"/>
        <rFont val="Calibri"/>
      </rPr>
      <t>If there is no output or the output is not exactly "Protocol 2", this is a finding.</t>
    </r>
  </si>
  <si>
    <t>V-207613</t>
  </si>
  <si>
    <r>
      <rPr>
        <sz val="11"/>
        <rFont val="Calibri"/>
      </rPr>
      <t>The ESXi host SSH daemon must ignore .rhosts files.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</si>
  <si>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 xml:space="preserve">Add or correct the following line in "/etc/ssh/sshd_config": </t>
    </r>
    <r>
      <rPr>
        <sz val="11"/>
        <color rgb="FF000000"/>
        <rFont val="Calibri"/>
      </rPr>
      <t xml:space="preserve">
</t>
    </r>
    <r>
      <rPr>
        <sz val="11"/>
        <color rgb="FF000000"/>
        <rFont val="Calibri"/>
      </rPr>
      <t>IgnoreRhosts yes</t>
    </r>
  </si>
  <si>
    <r>
      <rPr>
        <sz val="11"/>
        <color rgb="FF000000"/>
        <rFont val="Calibri"/>
      </rPr>
      <t>SSH trust relationships mean a compromise on one host can allow an attacker to move trivially to other hosts. SSH can emulate the behavior of the obsolete rsh command in allowing users to enable insecure access to their accounts via ".rhosts" files.</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</si>
  <si>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"^IgnoreRhosts" /etc/ssh/sshd_config</t>
    </r>
    <r>
      <rPr>
        <sz val="11"/>
        <color rgb="FF000000"/>
        <rFont val="Calibri"/>
      </rPr>
      <t xml:space="preserve">
</t>
    </r>
    <r>
      <rPr>
        <sz val="11"/>
        <color rgb="FF000000"/>
        <rFont val="Calibri"/>
      </rPr>
      <t>If there is no output or the output is not exactly "IgnoreRhosts yes", this is a finding.</t>
    </r>
  </si>
  <si>
    <t>V-207614</t>
  </si>
  <si>
    <r>
      <rPr>
        <sz val="11"/>
        <rFont val="Calibri"/>
      </rPr>
      <t>The ESXi host SSH daemon must not allow host-based authentication.</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</si>
  <si>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 xml:space="preserve">Add or correct the following line in "/etc/ssh/sshd_config": </t>
    </r>
    <r>
      <rPr>
        <sz val="11"/>
        <color rgb="FF000000"/>
        <rFont val="Calibri"/>
      </rPr>
      <t xml:space="preserve">
</t>
    </r>
    <r>
      <rPr>
        <sz val="11"/>
        <color rgb="FF000000"/>
        <rFont val="Calibri"/>
      </rPr>
      <t>HostbasedAuthentication no</t>
    </r>
  </si>
  <si>
    <r>
      <rPr>
        <sz val="11"/>
        <color rgb="FF000000"/>
        <rFont val="Calibri"/>
      </rPr>
      <t>SSH trust relationships mean a compromise on one host can allow an attacker to move trivially to other hosts. SSH's cryptographic host-based authentication is more secure than ".rhosts" authentication, since hosts are cryptographically authenticated. However, it is not recommended that hosts unilaterally trust one another, even within an organization.</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</si>
  <si>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"^HostbasedAuthentication" /etc/ssh/sshd_config</t>
    </r>
    <r>
      <rPr>
        <sz val="11"/>
        <color rgb="FF000000"/>
        <rFont val="Calibri"/>
      </rPr>
      <t xml:space="preserve">
</t>
    </r>
    <r>
      <rPr>
        <sz val="11"/>
        <color rgb="FF000000"/>
        <rFont val="Calibri"/>
      </rPr>
      <t>If there is no output or the output is not exactly "HostbasedAuthentication no", this is a finding.</t>
    </r>
  </si>
  <si>
    <t>V-207615</t>
  </si>
  <si>
    <r>
      <rPr>
        <sz val="11"/>
        <rFont val="Calibri"/>
      </rPr>
      <t>The ESXi host SSH daemon must not permit root logins.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</si>
  <si>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 xml:space="preserve">Add or correct the following line in "/etc/ssh/sshd_config": </t>
    </r>
    <r>
      <rPr>
        <sz val="11"/>
        <color rgb="FF000000"/>
        <rFont val="Calibri"/>
      </rPr>
      <t xml:space="preserve">
</t>
    </r>
    <r>
      <rPr>
        <sz val="11"/>
        <color rgb="FF000000"/>
        <rFont val="Calibri"/>
      </rPr>
      <t>PermitRootLogin no</t>
    </r>
  </si>
  <si>
    <r>
      <rPr>
        <sz val="11"/>
        <color rgb="FF000000"/>
        <rFont val="Calibri"/>
      </rPr>
      <t>Permitting direct root login reduces auditable information about who ran privileged commands on the system and also allows direct attack attempts on root's password.</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</si>
  <si>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"^PermitRootLogin" /etc/ssh/sshd_config</t>
    </r>
    <r>
      <rPr>
        <sz val="11"/>
        <color rgb="FF000000"/>
        <rFont val="Calibri"/>
      </rPr>
      <t xml:space="preserve">
</t>
    </r>
    <r>
      <rPr>
        <sz val="11"/>
        <color rgb="FF000000"/>
        <rFont val="Calibri"/>
      </rPr>
      <t>If there is no output or the output is not exactly "PermitRootLogin no", this is a finding.</t>
    </r>
  </si>
  <si>
    <t>V-207616</t>
  </si>
  <si>
    <r>
      <rPr>
        <sz val="11"/>
        <rFont val="Calibri"/>
      </rPr>
      <t>The ESXi host SSH daemon must not allow authentication using an empty password.</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</si>
  <si>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PermitEmptyPasswords no</t>
    </r>
  </si>
  <si>
    <r>
      <rPr>
        <sz val="11"/>
        <color rgb="FF000000"/>
        <rFont val="Calibri"/>
      </rPr>
      <t>Configuring this setting for the SSH daemon provides additional assurance that remote login via SSH will require a password, even in the event of misconfiguration elsewhere.</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</si>
  <si>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"^PermitEmptyPasswords" /etc/ssh/sshd_config</t>
    </r>
    <r>
      <rPr>
        <sz val="11"/>
        <color rgb="FF000000"/>
        <rFont val="Calibri"/>
      </rPr>
      <t xml:space="preserve">
</t>
    </r>
    <r>
      <rPr>
        <sz val="11"/>
        <color rgb="FF000000"/>
        <rFont val="Calibri"/>
      </rPr>
      <t>If there is no output or the output is not exactly "PermitEmptyPasswords no", this is a finding.</t>
    </r>
  </si>
  <si>
    <t>V-207617</t>
  </si>
  <si>
    <r>
      <rPr>
        <sz val="11"/>
        <rFont val="Calibri"/>
      </rPr>
      <t>The ESXi host SSH daemon must not permit user environment settings.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</si>
  <si>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PermitUserEnvironment no</t>
    </r>
  </si>
  <si>
    <r>
      <rPr>
        <sz val="11"/>
        <color rgb="FF000000"/>
        <rFont val="Calibri"/>
      </rPr>
      <t>SSH environment options potentially allow users to bypass access restriction in some configurations. Users must not be able to present environment options to the SSH daemon.</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</si>
  <si>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"^PermitUserEnvironment" /etc/ssh/sshd_config</t>
    </r>
    <r>
      <rPr>
        <sz val="11"/>
        <color rgb="FF000000"/>
        <rFont val="Calibri"/>
      </rPr>
      <t xml:space="preserve">
</t>
    </r>
    <r>
      <rPr>
        <sz val="11"/>
        <color rgb="FF000000"/>
        <rFont val="Calibri"/>
      </rPr>
      <t>If there is no output or the output is not exactly "PermitUserEnvironment no", this is a finding.</t>
    </r>
  </si>
  <si>
    <t>V-207618</t>
  </si>
  <si>
    <r>
      <rPr>
        <sz val="11"/>
        <rFont val="Calibri"/>
      </rPr>
      <t>The ESXi host SSH daemon must be configured to only use Message Authentication Codes (MACs) employing FIPS 140-2 approved cryptographic hash algorithms.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</si>
  <si>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MACs hmac-sha1,hmac-sha2-256,hmac-sha2-512</t>
    </r>
  </si>
  <si>
    <r>
      <rPr>
        <sz val="11"/>
        <color rgb="FF000000"/>
        <rFont val="Calibri"/>
      </rPr>
      <t>DoD information systems are required to use FIPS 140-2 approved cryptographic hash functions.</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</si>
  <si>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"^MACs" /etc/ssh/sshd_config</t>
    </r>
    <r>
      <rPr>
        <sz val="11"/>
        <color rgb="FF000000"/>
        <rFont val="Calibri"/>
      </rPr>
      <t xml:space="preserve">
</t>
    </r>
    <r>
      <rPr>
        <sz val="11"/>
        <color rgb="FF000000"/>
        <rFont val="Calibri"/>
      </rPr>
      <t>If there is no output or the output is not exactly "MACs hmac-sha1,hmac-sha2-256,hmac-sha2-512", this is a finding.</t>
    </r>
  </si>
  <si>
    <t>V-207619</t>
  </si>
  <si>
    <r>
      <rPr>
        <sz val="11"/>
        <rFont val="Calibri"/>
      </rPr>
      <t>The ESXi host SSH daemon must not permit GSSAPI authentication.</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</si>
  <si>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GSSAPIAuthentication no</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</si>
  <si>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</si>
  <si>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"^GSSAPIAuthentication" /etc/ssh/sshd_config</t>
    </r>
    <r>
      <rPr>
        <sz val="11"/>
        <color rgb="FF000000"/>
        <rFont val="Calibri"/>
      </rPr>
      <t xml:space="preserve">
</t>
    </r>
    <r>
      <rPr>
        <sz val="11"/>
        <color rgb="FF000000"/>
        <rFont val="Calibri"/>
      </rPr>
      <t>If there is no output or the output is not exactly "GSSAPIAuthentication no", this is a finding.</t>
    </r>
  </si>
  <si>
    <t>V-207620</t>
  </si>
  <si>
    <r>
      <rPr>
        <sz val="11"/>
        <rFont val="Calibri"/>
      </rPr>
      <t>The ESXi host SSH daemon must not permit Kerberos authentication.</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</si>
  <si>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KerberosAuthentication no</t>
    </r>
  </si>
  <si>
    <r>
      <rPr>
        <sz val="11"/>
        <color rgb="FF000000"/>
        <rFont val="Calibri"/>
      </rPr>
      <t>Kerberos authentication for SSH is often implemented using GSSAPI.  If Kerberos is enabled through SSH, the SSH daemon provides a means of access to the system's Kerberos implementation.  Vulnerabilities in the system's Kerberos implementation may then be subject to exploitation.  To reduce the attack surface of the system, the Kerberos authentication mechanism within SSH must be disabled for systems.</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</si>
  <si>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"^KerberosAuthentication" /etc/ssh/sshd_config</t>
    </r>
    <r>
      <rPr>
        <sz val="11"/>
        <color rgb="FF000000"/>
        <rFont val="Calibri"/>
      </rPr>
      <t xml:space="preserve">
</t>
    </r>
    <r>
      <rPr>
        <sz val="11"/>
        <color rgb="FF000000"/>
        <rFont val="Calibri"/>
      </rPr>
      <t>If there is no output or the output is not exactly "KerberosAuthentication no", this is a finding.</t>
    </r>
  </si>
  <si>
    <t>V-207621</t>
  </si>
  <si>
    <r>
      <rPr>
        <sz val="11"/>
        <rFont val="Calibri"/>
      </rPr>
      <t>The ESXi host SSH daemon must perform strict mode checking of home directory configuration files.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</si>
  <si>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StrictModes yes</t>
    </r>
  </si>
  <si>
    <r>
      <rPr>
        <sz val="11"/>
        <color rgb="FF000000"/>
        <rFont val="Calibri"/>
      </rPr>
      <t>If other users have access to modify user-specific SSH configuration files, they may be able to log into the system as another user.</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</si>
  <si>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"^StrictModes" /etc/ssh/sshd_config</t>
    </r>
    <r>
      <rPr>
        <sz val="11"/>
        <color rgb="FF000000"/>
        <rFont val="Calibri"/>
      </rPr>
      <t xml:space="preserve">
</t>
    </r>
    <r>
      <rPr>
        <sz val="11"/>
        <color rgb="FF000000"/>
        <rFont val="Calibri"/>
      </rPr>
      <t>If there is no output or the output is not exactly "StrictModes yes", this is a finding.</t>
    </r>
  </si>
  <si>
    <t>V-207622</t>
  </si>
  <si>
    <r>
      <rPr>
        <sz val="11"/>
        <rFont val="Calibri"/>
      </rPr>
      <t>The ESXi host SSH daemon must not allow compression or must only allow compression after successful authentication.</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</si>
  <si>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Compression no</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</si>
  <si>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</si>
  <si>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"^Compression" /etc/ssh/sshd_config</t>
    </r>
    <r>
      <rPr>
        <sz val="11"/>
        <color rgb="FF000000"/>
        <rFont val="Calibri"/>
      </rPr>
      <t xml:space="preserve">
</t>
    </r>
    <r>
      <rPr>
        <sz val="11"/>
        <color rgb="FF000000"/>
        <rFont val="Calibri"/>
      </rPr>
      <t>If there is no output or the output is not exactly "Compression no", this is a finding.</t>
    </r>
  </si>
  <si>
    <t>V-207623</t>
  </si>
  <si>
    <r>
      <rPr>
        <sz val="11"/>
        <rFont val="Calibri"/>
      </rPr>
      <t>The ESXi host SSH daemon must be configured to not allow gateway ports.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</si>
  <si>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GatewayPorts no</t>
    </r>
  </si>
  <si>
    <r>
      <rPr>
        <sz val="11"/>
        <color rgb="FF000000"/>
        <rFont val="Calibri"/>
      </rPr>
      <t>SSH TCP connection forwarding provides a mechanism to establish TCP connections proxied by the SSH server. This function can provide similar convenience to a Virtual Private Network (VPN) with the similar risk of providing a path to circumvent firewalls and network ACLs. Gateway ports allow remote forwarded ports to bind to non-loopback addresses on the server.</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</si>
  <si>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"^GatewayPorts" /etc/ssh/sshd_config</t>
    </r>
    <r>
      <rPr>
        <sz val="11"/>
        <color rgb="FF000000"/>
        <rFont val="Calibri"/>
      </rPr>
      <t xml:space="preserve">
</t>
    </r>
    <r>
      <rPr>
        <sz val="11"/>
        <color rgb="FF000000"/>
        <rFont val="Calibri"/>
      </rPr>
      <t>If there is no output or the output is not exactly "GatewayPorts no", this is a finding.</t>
    </r>
  </si>
  <si>
    <t>V-207624</t>
  </si>
  <si>
    <r>
      <rPr>
        <sz val="11"/>
        <rFont val="Calibri"/>
      </rPr>
      <t>The ESXi host SSH daemon must be configured to not allow X11 forwarding.</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</si>
  <si>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X11Forwarding no</t>
    </r>
  </si>
  <si>
    <r>
      <rPr>
        <sz val="11"/>
        <color rgb="FF000000"/>
        <rFont val="Calibri"/>
      </rPr>
      <t>X11 forwarding over SSH allows for the secure remote execution of X11-based applications. This feature can increase the attack surface of an SSH connection.</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</si>
  <si>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"^X11Forwarding" /etc/ssh/sshd_config</t>
    </r>
    <r>
      <rPr>
        <sz val="11"/>
        <color rgb="FF000000"/>
        <rFont val="Calibri"/>
      </rPr>
      <t xml:space="preserve">
</t>
    </r>
    <r>
      <rPr>
        <sz val="11"/>
        <color rgb="FF000000"/>
        <rFont val="Calibri"/>
      </rPr>
      <t>If there is no output or the output is not exactly "X11Forwarding no", this is a finding.</t>
    </r>
  </si>
  <si>
    <t>V-207625</t>
  </si>
  <si>
    <r>
      <rPr>
        <sz val="11"/>
        <rFont val="Calibri"/>
      </rPr>
      <t>The ESXi host SSH daemon must not accept environment variables from the client.</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</si>
  <si>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AcceptEnv</t>
    </r>
  </si>
  <si>
    <r>
      <rPr>
        <sz val="11"/>
        <color rgb="FF000000"/>
        <rFont val="Calibri"/>
      </rPr>
      <t>Environment variables can be used to change the behavior of remote sessions and should be limited. Locale environment variables that specify the language, character set, and other features modifying the operation of software to match the user's preferences.</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</si>
  <si>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"^AcceptEnv" /etc/ssh/sshd_config</t>
    </r>
    <r>
      <rPr>
        <sz val="11"/>
        <color rgb="FF000000"/>
        <rFont val="Calibri"/>
      </rPr>
      <t xml:space="preserve">
</t>
    </r>
    <r>
      <rPr>
        <sz val="11"/>
        <color rgb="FF000000"/>
        <rFont val="Calibri"/>
      </rPr>
      <t>If there is no output or the output is not exactly "AcceptEnv", this is a finding.</t>
    </r>
  </si>
  <si>
    <t>V-207626</t>
  </si>
  <si>
    <r>
      <rPr>
        <sz val="11"/>
        <rFont val="Calibri"/>
      </rPr>
      <t>The ESXi host SSH daemon must not permit tunnels.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</si>
  <si>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PermitTunnel no</t>
    </r>
  </si>
  <si>
    <r>
      <rPr>
        <sz val="11"/>
        <color rgb="FF000000"/>
        <rFont val="Calibri"/>
      </rPr>
      <t>OpenSSH has the ability to create network tunnels (layer-2 and layer-3) over an SSH connection. This function can provide similar convenience to a Virtual Private Network (VPN) with the similar risk of providing a path to circumvent firewalls and network ACLs.</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</si>
  <si>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"^PermitTunnel" /etc/ssh/sshd_config</t>
    </r>
    <r>
      <rPr>
        <sz val="11"/>
        <color rgb="FF000000"/>
        <rFont val="Calibri"/>
      </rPr>
      <t xml:space="preserve">
</t>
    </r>
    <r>
      <rPr>
        <sz val="11"/>
        <color rgb="FF000000"/>
        <rFont val="Calibri"/>
      </rPr>
      <t>If there is no output or the output is not exactly "PermitTunnel no", this is a finding.</t>
    </r>
  </si>
  <si>
    <t>V-207627</t>
  </si>
  <si>
    <r>
      <rPr>
        <sz val="11"/>
        <rFont val="Calibri"/>
      </rPr>
      <t>The ESXi host SSH daemon must set a timeout count on idle sessions.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</si>
  <si>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ClientAliveCountMax 3</t>
    </r>
  </si>
  <si>
    <r>
      <rPr>
        <sz val="11"/>
        <color rgb="FF000000"/>
        <rFont val="Calibri"/>
      </rPr>
      <t>This ensures a user login will be terminated as soon as the "ClientAliveCountMax" is reached.</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</si>
  <si>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"^ClientAliveCountMax" /etc/ssh/sshd_config</t>
    </r>
    <r>
      <rPr>
        <sz val="11"/>
        <color rgb="FF000000"/>
        <rFont val="Calibri"/>
      </rPr>
      <t xml:space="preserve">
</t>
    </r>
    <r>
      <rPr>
        <sz val="11"/>
        <color rgb="FF000000"/>
        <rFont val="Calibri"/>
      </rPr>
      <t>If there is no output or the output is not exactly "ClientAliveCountMax 3", this is a finding.</t>
    </r>
  </si>
  <si>
    <t>V-207628</t>
  </si>
  <si>
    <r>
      <rPr>
        <sz val="11"/>
        <rFont val="Calibri"/>
      </rPr>
      <t>The ESXi hostSSH daemon must set a timeout interval on idle sessions.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</si>
  <si>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ClientAliveInterval 200</t>
    </r>
  </si>
  <si>
    <r>
      <rPr>
        <sz val="11"/>
        <color rgb="FF000000"/>
        <rFont val="Calibri"/>
      </rPr>
      <t>Causing idle users to be automatically logged out guards against compromises one system leading trivially to compromises on another.</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</si>
  <si>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"^ClientAliveInterval" /etc/ssh/sshd_config</t>
    </r>
    <r>
      <rPr>
        <sz val="11"/>
        <color rgb="FF000000"/>
        <rFont val="Calibri"/>
      </rPr>
      <t xml:space="preserve">
</t>
    </r>
    <r>
      <rPr>
        <sz val="11"/>
        <color rgb="FF000000"/>
        <rFont val="Calibri"/>
      </rPr>
      <t>If there is no output or the output is not exactly "ClientAliveInterval 200", this is a finding.</t>
    </r>
  </si>
  <si>
    <t>V-207629</t>
  </si>
  <si>
    <r>
      <rPr>
        <sz val="11"/>
        <rFont val="Calibri"/>
      </rPr>
      <t>The ESXi host SSH daemon must limit connections to a single session.</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</si>
  <si>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MaxSessions 1</t>
    </r>
  </si>
  <si>
    <r>
      <rPr>
        <sz val="11"/>
        <color rgb="FF000000"/>
        <rFont val="Calibri"/>
      </rPr>
      <t>The SSH protocol has the ability to provide multiple sessions over a single connection without reauthentication. A compromised client could use this feature to establish additional sessions to a system without consent or knowledge of the user.</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</si>
  <si>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"^MaxSessions" /etc/ssh/sshd_config</t>
    </r>
    <r>
      <rPr>
        <sz val="11"/>
        <color rgb="FF000000"/>
        <rFont val="Calibri"/>
      </rPr>
      <t xml:space="preserve">
</t>
    </r>
    <r>
      <rPr>
        <sz val="11"/>
        <color rgb="FF000000"/>
        <rFont val="Calibri"/>
      </rPr>
      <t>If there is no output or the output is not exactly "MaxSessions 1", this is a finding.</t>
    </r>
  </si>
  <si>
    <t>V-207630</t>
  </si>
  <si>
    <r>
      <rPr>
        <sz val="11"/>
        <rFont val="Calibri"/>
      </rPr>
      <t>The ESXi host must remove keys from the SSH authorized_keys file.</t>
    </r>
  </si>
  <si>
    <r>
      <rPr>
        <sz val="11"/>
        <color rgb="FF000000"/>
        <rFont val="Calibri"/>
      </rPr>
      <t>From an SSH session connected to the ESXi host, or from the ESXi shell, zero or remove the /etc/ssh/keys-root/authorized_keys file:</t>
    </r>
    <r>
      <rPr>
        <sz val="11"/>
        <color rgb="FF000000"/>
        <rFont val="Calibri"/>
      </rPr>
      <t xml:space="preserve">
</t>
    </r>
    <r>
      <rPr>
        <sz val="11"/>
        <color rgb="FF000000"/>
        <rFont val="Calibri"/>
      </rPr>
      <t># &gt;/etc/ssh/keys-root/authorized_keys</t>
    </r>
    <r>
      <rPr>
        <sz val="11"/>
        <color rgb="FF000000"/>
        <rFont val="Calibri"/>
      </rPr>
      <t xml:space="preserve">
</t>
    </r>
    <r>
      <rPr>
        <sz val="11"/>
        <color rgb="FF000000"/>
        <rFont val="Calibri"/>
      </rPr>
      <t>or</t>
    </r>
    <r>
      <rPr>
        <sz val="11"/>
        <color rgb="FF000000"/>
        <rFont val="Calibri"/>
      </rPr>
      <t xml:space="preserve">
</t>
    </r>
    <r>
      <rPr>
        <sz val="11"/>
        <color rgb="FF000000"/>
        <rFont val="Calibri"/>
      </rPr>
      <t># rm /etc/ssh/keys-root/authorized_keys</t>
    </r>
  </si>
  <si>
    <r>
      <rPr>
        <sz val="11"/>
        <color rgb="FF000000"/>
        <rFont val="Calibri"/>
      </rPr>
      <t>ESXi hosts come with SSH which can be enabled to allow remote access without requiring user authentication.  To enable password free access copy the remote users public key into the "/etc/ssh/keys-root/authorized_keys" file on the ESXi host.  The presence of the remote user's public key in the "authorized_keys" file identifies the user as trusted, meaning the user is granted access to the host without providing a password.  If using Lockdown Mode and SSH is disabled then login with authorized keys will have the same restrictions as username/password.</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</si>
  <si>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ls -la /etc/ssh/keys-root/authorized_keys</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/etc/ssh/keys-root/authorized_keys</t>
    </r>
    <r>
      <rPr>
        <sz val="11"/>
        <color rgb="FF000000"/>
        <rFont val="Calibri"/>
      </rPr>
      <t xml:space="preserve">
</t>
    </r>
    <r>
      <rPr>
        <sz val="11"/>
        <color rgb="FF000000"/>
        <rFont val="Calibri"/>
      </rPr>
      <t>If the authorized_keys file exists and is not empty, this is a finding.</t>
    </r>
  </si>
  <si>
    <t>V-207631</t>
  </si>
  <si>
    <r>
      <rPr>
        <sz val="11"/>
        <rFont val="Calibri"/>
      </rPr>
      <t>The ESXi host must produce audit records containing information to establish what type of events occurred.</t>
    </r>
  </si>
  <si>
    <r>
      <rPr>
        <sz val="11"/>
        <color rgb="FF000000"/>
        <rFont val="Calibri"/>
      </rPr>
      <t>From the vSphere Web Client select the ESXi Host and go to Configure &gt;&gt; System &gt;&gt; Advanced System Settings. Click Edit and select the Config.HostAgent.log.level value and configure it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Config.HostAgent.log.level | Set-AdvancedSetting -Value "info"</t>
    </r>
  </si>
  <si>
    <r>
      <rPr>
        <sz val="11"/>
        <color rgb="FF000000"/>
        <rFont val="Calibri"/>
      </rPr>
      <t>Without establishing what types of events occurred, it would be difficult to establish, correlate, and investigate the events leading up to an outage or attack.</t>
    </r>
  </si>
  <si>
    <r>
      <rPr>
        <sz val="11"/>
        <color rgb="FF000000"/>
        <rFont val="Calibri"/>
      </rPr>
      <t>From the vSphere Web Client select the ESXi Host and go to Configure &gt;&gt; System &gt;&gt; Advanced System Settings.  Select the Config.HostAgent.log.level value and verify it is set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Config.HostAgent.log.level</t>
    </r>
    <r>
      <rPr>
        <sz val="11"/>
        <color rgb="FF000000"/>
        <rFont val="Calibri"/>
      </rPr>
      <t xml:space="preserve">
</t>
    </r>
    <r>
      <rPr>
        <sz val="11"/>
        <color rgb="FF000000"/>
        <rFont val="Calibri"/>
      </rPr>
      <t>If the Config.HostAgent.log.level setting is not set to info, this is a finding.</t>
    </r>
    <r>
      <rPr>
        <sz val="11"/>
        <color rgb="FF000000"/>
        <rFont val="Calibri"/>
      </rPr>
      <t xml:space="preserve">
</t>
    </r>
    <r>
      <rPr>
        <sz val="11"/>
        <color rgb="FF000000"/>
        <rFont val="Calibri"/>
      </rPr>
      <t>Note: Verbose logging level is acceptable for troubleshooting purposes.</t>
    </r>
  </si>
  <si>
    <t>V-207632</t>
  </si>
  <si>
    <r>
      <rPr>
        <sz val="11"/>
        <rFont val="Calibri"/>
      </rPr>
      <t>The ESXi host must enforce password complexity by requiring that at least one upper-case character be used.</t>
    </r>
  </si>
  <si>
    <r>
      <rPr>
        <sz val="11"/>
        <color rgb="FF000000"/>
        <rFont val="Calibri"/>
      </rPr>
      <t>From the vSphere Web Client select the ESXi Host and go to Configure &gt;&gt; System &gt;&gt; Advanced System Settings. Click Edit and select the Security.PasswordQualityControl value and configure it to "similar=deny retry=3 min=disabled,disabled,disabled,disabled,15".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Security.PasswordQualityControl | Set-AdvancedSetting -Value "similar=deny retry=3 min=disabled,disabled,disabled,disabled,15"</t>
    </r>
  </si>
  <si>
    <r>
      <rPr>
        <sz val="11"/>
        <color rgb="FF000000"/>
        <rFont val="Calibri"/>
      </rPr>
      <t>To enforce the use of complex passwords, minimum numbers of characters of different classes are mandated. The use of complex passwords reduces the ability of attackers to successfully obtain valid passwords using guessing or exhaustive search techniques. Complexity requirements increase the password search space by requiring users to construct passwords from a larger character set than they may otherwise use.</t>
    </r>
  </si>
  <si>
    <r>
      <rPr>
        <sz val="11"/>
        <color rgb="FF000000"/>
        <rFont val="Calibri"/>
      </rPr>
      <t>From the vSphere Web Client select the ESXi Host and go to Configure &gt;&gt; System &gt;&gt; Advanced System Settings. Select the Security.PasswordQualityControl value and verify it is set to "similar=deny retry=3 min=disabled,disabled,disabled,disabled,15"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Security.PasswordQualityControl</t>
    </r>
    <r>
      <rPr>
        <sz val="11"/>
        <color rgb="FF000000"/>
        <rFont val="Calibri"/>
      </rPr>
      <t xml:space="preserve">
</t>
    </r>
    <r>
      <rPr>
        <sz val="11"/>
        <color rgb="FF000000"/>
        <rFont val="Calibri"/>
      </rPr>
      <t>If the Security.PasswordQualityControl setting is not set to "similar=deny retry=3 min=disabled,disabled,disabled,disabled,15", this is a finding.</t>
    </r>
  </si>
  <si>
    <t>V-207633</t>
  </si>
  <si>
    <r>
      <rPr>
        <sz val="11"/>
        <rFont val="Calibri"/>
      </rPr>
      <t>The ESXi host must prohibit the reuse of passwords within five iterations.</t>
    </r>
  </si>
  <si>
    <r>
      <rPr>
        <sz val="11"/>
        <color rgb="FF000000"/>
        <rFont val="Calibri"/>
      </rPr>
      <t>From an SSH session connected to the ESXi host, or from the ESXi shell, add or correct the following line in “/etc/pam.d/passwd”:</t>
    </r>
    <r>
      <rPr>
        <sz val="11"/>
        <color rgb="FF000000"/>
        <rFont val="Calibri"/>
      </rPr>
      <t xml:space="preserve">
</t>
    </r>
    <r>
      <rPr>
        <sz val="11"/>
        <color rgb="FF000000"/>
        <rFont val="Calibri"/>
      </rPr>
      <t>password sufficient /lib/security/$ISA/pam_unix.so use_authtok nullok shadow sha512 remember=5</t>
    </r>
  </si>
  <si>
    <r>
      <rPr>
        <sz val="11"/>
        <color rgb="FF000000"/>
        <rFont val="Calibri"/>
      </rPr>
      <t>If a user, or root, used the same password continuously or was allowed to change it back shortly after being forced to change it to something else, it would provide a potential intruder with the opportunity to keep guessing at one user's password until it was guessed correctly.</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</si>
  <si>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"^password" /etc/pam.d/passwd | grep sufficient</t>
    </r>
    <r>
      <rPr>
        <sz val="11"/>
        <color rgb="FF000000"/>
        <rFont val="Calibri"/>
      </rPr>
      <t xml:space="preserve">
</t>
    </r>
    <r>
      <rPr>
        <sz val="11"/>
        <color rgb="FF000000"/>
        <rFont val="Calibri"/>
      </rPr>
      <t>If the remember setting is not set or is not "remember=5", this is a finding.</t>
    </r>
  </si>
  <si>
    <t>V-207634</t>
  </si>
  <si>
    <r>
      <rPr>
        <sz val="11"/>
        <rFont val="Calibri"/>
      </rPr>
      <t>The password hashes stored on the ESXi host must have been generated using a FIPS 140-2 approved cryptographic hashing algorithm.</t>
    </r>
  </si>
  <si>
    <r>
      <rPr>
        <sz val="11"/>
        <color rgb="FF000000"/>
        <rFont val="Calibri"/>
      </rPr>
      <t>Systems must employ cryptographic hashes for passwords using the SHA-2 family of algorithms or FIPS 140-2 approved successors. The use of unapproved algorithms may result in weak password hashes more vulnerable to compromise.</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</si>
  <si>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"^password" /etc/pam.d/passwd | grep sufficient</t>
    </r>
    <r>
      <rPr>
        <sz val="11"/>
        <color rgb="FF000000"/>
        <rFont val="Calibri"/>
      </rPr>
      <t xml:space="preserve">
</t>
    </r>
    <r>
      <rPr>
        <sz val="11"/>
        <color rgb="FF000000"/>
        <rFont val="Calibri"/>
      </rPr>
      <t>If sha512 is not listed, this is a finding.</t>
    </r>
  </si>
  <si>
    <t>V-207635</t>
  </si>
  <si>
    <r>
      <rPr>
        <sz val="11"/>
        <rFont val="Calibri"/>
      </rPr>
      <t>The ESXi host must disable the Managed Object Browser (MOB).</t>
    </r>
  </si>
  <si>
    <r>
      <rPr>
        <sz val="11"/>
        <color rgb="FF000000"/>
        <rFont val="Calibri"/>
      </rPr>
      <t>From the vSphere Web Client select the ESXi Host and go to Configure &gt;&gt; System &gt;&gt; Advanced System Settings. Click Edit and select the Config.HostAgent.plugins.solo.enableMob value and configure it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Config.HostAgent.plugins.solo.enableMob | Set-AdvancedSetting -Value false</t>
    </r>
  </si>
  <si>
    <r>
      <rPr>
        <sz val="11"/>
        <color rgb="FF000000"/>
        <rFont val="Calibri"/>
      </rPr>
      <t>The Managed Object Browser (MOB) provides a way to explore the object model used by the VMkernel to manage the host and enables configurations to be changed as well. This interface is meant to be used primarily for debugging the vSphere SDK, but because there are no access controls it could also be used as a method obtain information about a host being targeted for unauthorized access.  By default this is disabled for ESXi in version 6.</t>
    </r>
  </si>
  <si>
    <r>
      <rPr>
        <sz val="11"/>
        <color rgb="FF000000"/>
        <rFont val="Calibri"/>
      </rPr>
      <t>From the vSphere Web Client select the ESXi Host and go to Configure &gt;&gt; System &gt;&gt; Advanced System Settings. Select the Config.HostAgent.plugins.solo.enableMob value and verify it is set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Config.HostAgent.plugins.solo.enableMob</t>
    </r>
    <r>
      <rPr>
        <sz val="11"/>
        <color rgb="FF000000"/>
        <rFont val="Calibri"/>
      </rPr>
      <t xml:space="preserve">
</t>
    </r>
    <r>
      <rPr>
        <sz val="11"/>
        <color rgb="FF000000"/>
        <rFont val="Calibri"/>
      </rPr>
      <t>If the Config.HostAgent.plugins.solo.enableMob setting is not set to false, this is a finding.</t>
    </r>
  </si>
  <si>
    <t>V-207636</t>
  </si>
  <si>
    <r>
      <rPr>
        <sz val="11"/>
        <rFont val="Calibri"/>
      </rPr>
      <t>The ESXi host must be configured to disable non-essential capabilities by disabling SSH.</t>
    </r>
  </si>
  <si>
    <r>
      <rPr>
        <sz val="11"/>
        <color rgb="FF000000"/>
        <rFont val="Calibri"/>
      </rPr>
      <t>From the vSphere Web Client select the ESXi Host and go to Configure &gt;&gt; System &gt;&gt; Security Profile. Under Services select Edit then select the SSH service and click the Stop button to stop the service. Use the pull-down menu to change the Startup policy to "Start and stop manually"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Get-VMHostService | Where {$_.Label -eq "SSH"} | Set-VMHostService -Policy Off</t>
    </r>
    <r>
      <rPr>
        <sz val="11"/>
        <color rgb="FF000000"/>
        <rFont val="Calibri"/>
      </rPr>
      <t xml:space="preserve">
</t>
    </r>
    <r>
      <rPr>
        <sz val="11"/>
        <color rgb="FF000000"/>
        <rFont val="Calibri"/>
      </rPr>
      <t>Get-VMHost | Get-VMHostService | Where {$_.Label -eq "SSH"} | Stop-VMHostService</t>
    </r>
  </si>
  <si>
    <r>
      <rPr>
        <sz val="11"/>
        <color rgb="FF000000"/>
        <rFont val="Calibri"/>
      </rPr>
      <t>The ESXi Shell is an interactive command line interface (CLI) available at the ESXi server console. The ESXi shell provides temporary access to commands essential for server maintenance. Intended primarily for use in break-fix scenarios, the ESXi shell is well suited for checking and modifying configuration details, not always generally accessible, using the vSphere Client. The ESXi shell is accessible remotely using SSH by users with the Administrator role. Under normal operating conditions, SSH access to the host must be disabled as is the default.  As with the ESXi shell, SSH is also intended only for temporary use during break-fix scenarios. SSH must therefore be disabled under normal operating conditions and must only be enabled for diagnostics or troubleshooting. Remote access to the host must therefore be limited to the vSphere Client at all other times.</t>
    </r>
  </si>
  <si>
    <r>
      <rPr>
        <sz val="11"/>
        <color rgb="FF000000"/>
        <rFont val="Calibri"/>
      </rPr>
      <t>From the vSphere Web Client select the ESXi Host and go to Configure &gt;&gt; System &gt;&gt; Security Profile. Under Services select Edit and view the "SSH" service and verify it is stopped.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"SSH"}</t>
    </r>
    <r>
      <rPr>
        <sz val="11"/>
        <color rgb="FF000000"/>
        <rFont val="Calibri"/>
      </rPr>
      <t xml:space="preserve">
</t>
    </r>
    <r>
      <rPr>
        <sz val="11"/>
        <color rgb="FF000000"/>
        <rFont val="Calibri"/>
      </rPr>
      <t>If the ESXi SSH service is running, this is a finding.</t>
    </r>
  </si>
  <si>
    <t>V-207637</t>
  </si>
  <si>
    <r>
      <rPr>
        <sz val="11"/>
        <rFont val="Calibri"/>
      </rPr>
      <t>The ESXi host must disable ESXi Shell unless needed for diagnostics or troubleshooting.</t>
    </r>
  </si>
  <si>
    <r>
      <rPr>
        <sz val="11"/>
        <color rgb="FF000000"/>
        <rFont val="Calibri"/>
      </rPr>
      <t>From the vSphere Web Client select the ESXi Host and go to Configure &gt;&gt; System &gt;&gt; Security Profile. Under Services select Edit then select the ESXi Shell service and click the Stop button to stop the service. Use the pull-down menu to change the Startup policy to "Start and stop manually"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Get-VMHostService | Where {$_.Label -eq "ESXi Shell"} | Set-VMHostService -Policy Off</t>
    </r>
    <r>
      <rPr>
        <sz val="11"/>
        <color rgb="FF000000"/>
        <rFont val="Calibri"/>
      </rPr>
      <t xml:space="preserve">
</t>
    </r>
    <r>
      <rPr>
        <sz val="11"/>
        <color rgb="FF000000"/>
        <rFont val="Calibri"/>
      </rPr>
      <t>Get-VMHost | Get-VMHostService | Where {$_.Label -eq "ESXi Shell"} | Stop-VMHostService</t>
    </r>
  </si>
  <si>
    <r>
      <rPr>
        <sz val="11"/>
        <color rgb="FF000000"/>
        <rFont val="Calibri"/>
      </rPr>
      <t>The ESXi Shell is an interactive command line environment available locally from the DCUI or remotely via SSH. Activities performed from the ESXi Shell bypass vCenter RBAC and audit controls. The ESXi shell should only be turned on when needed to troubleshoot/resolve problems that cannot be fixed through the vSphere client.</t>
    </r>
  </si>
  <si>
    <r>
      <rPr>
        <sz val="11"/>
        <color rgb="FF000000"/>
        <rFont val="Calibri"/>
      </rPr>
      <t>From the vSphere Web Client select the ESXi Host and go to Configure &gt;&gt; System &gt;&gt; Security Profile.  Under Services select Edit and view the "ESXi Shell" service and verify it is stopped.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"ESXi Shell"}</t>
    </r>
    <r>
      <rPr>
        <sz val="11"/>
        <color rgb="FF000000"/>
        <rFont val="Calibri"/>
      </rPr>
      <t xml:space="preserve">
</t>
    </r>
    <r>
      <rPr>
        <sz val="11"/>
        <color rgb="FF000000"/>
        <rFont val="Calibri"/>
      </rPr>
      <t>If the ESXi Shell service is running, this is a finding.</t>
    </r>
  </si>
  <si>
    <t>V-207638</t>
  </si>
  <si>
    <r>
      <rPr>
        <sz val="11"/>
        <rFont val="Calibri"/>
      </rPr>
      <t>The ESXi host must use Active Directory for local user authentication.</t>
    </r>
  </si>
  <si>
    <r>
      <rPr>
        <sz val="11"/>
        <color rgb="FF000000"/>
        <rFont val="Calibri"/>
      </rPr>
      <t>From the vSphere Web Client select the ESXi Host and go to Configure &gt;&gt; System &gt;&gt; Authentication Services. Click Join Domain and enter the AD domain to join, select the "Using credentials” radio button and enter the credentials of an account with permissions to join machines to AD (use UPN naming – user@domain) and then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 | Set-VMHostAuthentication -JoinDomain -Domain "domain name" -User "username" -Password "password"</t>
    </r>
  </si>
  <si>
    <r>
      <rPr>
        <sz val="11"/>
        <color rgb="FF000000"/>
        <rFont val="Calibri"/>
      </rPr>
      <t>Join ESXi hosts to an Active Directory (AD) domain to eliminate the need to create and maintain multiple local user accounts. Using AD for user authentication simplifies the ESXi host configuration, ensures password complexity and reuse policies are enforced and reduces the risk of security breaches and unauthorized access.  Note: If the AD group "ESX Admins" (default) exists then all users and groups that are assigned as members to this group will have full administrative access to all ESXi hosts the domain.</t>
    </r>
  </si>
  <si>
    <r>
      <rPr>
        <sz val="11"/>
        <color rgb="FF000000"/>
        <rFont val="Calibri"/>
      </rPr>
      <t>From the vSphere Web Client select the ESXi Host and go to Configure &gt;&gt; System &gt;&gt; Authentication Services.  Verify the Directory Services Type is set to Active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t>
    </r>
    <r>
      <rPr>
        <sz val="11"/>
        <color rgb="FF000000"/>
        <rFont val="Calibri"/>
      </rPr>
      <t xml:space="preserve">
</t>
    </r>
    <r>
      <rPr>
        <sz val="11"/>
        <color rgb="FF000000"/>
        <rFont val="Calibri"/>
      </rPr>
      <t>For systems that do not use Active Directory and have no local user accounts, other than root and/or vpxuser, this is not applicable.</t>
    </r>
    <r>
      <rPr>
        <sz val="11"/>
        <color rgb="FF000000"/>
        <rFont val="Calibri"/>
      </rPr>
      <t xml:space="preserve">
</t>
    </r>
    <r>
      <rPr>
        <sz val="11"/>
        <color rgb="FF000000"/>
        <rFont val="Calibri"/>
      </rPr>
      <t>For systems that do not use Active Directory and do have local user accounts, other than root and/or vpxuser, this is a finding.</t>
    </r>
    <r>
      <rPr>
        <sz val="11"/>
        <color rgb="FF000000"/>
        <rFont val="Calibri"/>
      </rPr>
      <t xml:space="preserve">
</t>
    </r>
    <r>
      <rPr>
        <sz val="11"/>
        <color rgb="FF000000"/>
        <rFont val="Calibri"/>
      </rPr>
      <t>If the Directory Services Type is not set to "Active Directory", this is a finding.</t>
    </r>
  </si>
  <si>
    <t>V-207639</t>
  </si>
  <si>
    <r>
      <rPr>
        <sz val="11"/>
        <rFont val="Calibri"/>
      </rPr>
      <t>The ESXi host must use the vSphere Authentication Proxy to protect passwords when adding ESXi hosts to Active Directory.</t>
    </r>
  </si>
  <si>
    <r>
      <rPr>
        <sz val="11"/>
        <color rgb="FF000000"/>
        <rFont val="Calibri"/>
      </rPr>
      <t>From the vSphere Web Client go to Home &gt;&gt; Host Profiles &gt;&gt; and select a Host Profile to edit. View the settings under Security and Services &gt;&gt; Security Settings &gt;&gt; Authentication Configuration &gt;&gt; Active Directory Configuration &gt;&gt; Join Domain Method. Set the method used to join hosts to a domain to "Use vSphere Authentication Proxy to add the host to domain" and provide the IP address of the vSphere Authentication Proxy server.</t>
    </r>
  </si>
  <si>
    <r>
      <rPr>
        <sz val="11"/>
        <color rgb="FF000000"/>
        <rFont val="Calibri"/>
      </rPr>
      <t>If you configure your host to join an Active Directory domain using Host Profiles the Active Directory credentials are saved in the host profile and are transmitted over the network. To avoid having to save Active Directory credentials in the Host Profile and to avoid transmitting Active Directory credentials over the network use the vSphere Authentication Proxy.</t>
    </r>
  </si>
  <si>
    <r>
      <rPr>
        <sz val="11"/>
        <color rgb="FF000000"/>
        <rFont val="Calibri"/>
      </rPr>
      <t>From the vSphere Web Client go to Home &gt;&gt; Host Profiles &gt;&gt; and select a Host Profile to edit. View the settings under Security and Services &gt;&gt; Security Settings &gt;&gt; Authentication Configuration &gt;&gt; Active Directory Configuration &gt;&gt; Join Domain Method. Verify the method used to join hosts to a domain is set to "Use vSphere Authentication Proxy to add the host to domain".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vCenter run the following command:</t>
    </r>
    <r>
      <rPr>
        <sz val="11"/>
        <color rgb="FF000000"/>
        <rFont val="Calibri"/>
      </rPr>
      <t xml:space="preserve">
</t>
    </r>
    <r>
      <rPr>
        <sz val="11"/>
        <color rgb="FF000000"/>
        <rFont val="Calibri"/>
      </rPr>
      <t>Get-VMHost | Select Name, ` @{N="HostProfile";E={$_ | Get-VMHostProfile}}, ` @{N="JoinADEnabled";E={($_ | Get-VmHostProfile).ExtensionData.Config.ApplyProfile.Authentication.ActiveDirectory.Enabled}}, ` @{N="JoinDomainMethod";E={(($_ | Get-VMHostProfile).ExtensionData.Config.ApplyProfile.Authentication.ActiveDirectory | Select -ExpandProperty Policy | Where {$_.Id -eq "JoinDomainMethodPolicy"}).Policyoption.Id}}</t>
    </r>
    <r>
      <rPr>
        <sz val="11"/>
        <color rgb="FF000000"/>
        <rFont val="Calibri"/>
      </rPr>
      <t xml:space="preserve">
</t>
    </r>
    <r>
      <rPr>
        <sz val="11"/>
        <color rgb="FF000000"/>
        <rFont val="Calibri"/>
      </rPr>
      <t>Verify if JoinADEnabled is True then JoinDomainMethod should be "FixedCAMConfigOption".</t>
    </r>
    <r>
      <rPr>
        <sz val="11"/>
        <color rgb="FF000000"/>
        <rFont val="Calibri"/>
      </rPr>
      <t xml:space="preserve">
</t>
    </r>
    <r>
      <rPr>
        <sz val="11"/>
        <color rgb="FF000000"/>
        <rFont val="Calibri"/>
      </rPr>
      <t>If you are not using Host Profiles to join active directory, this is not a finding.</t>
    </r>
  </si>
  <si>
    <t>V-207640</t>
  </si>
  <si>
    <r>
      <rPr>
        <sz val="11"/>
        <rFont val="Calibri"/>
      </rPr>
      <t>Active Directory ESX Admin group membership must not be used when adding ESXi hosts to Active Directory.</t>
    </r>
  </si>
  <si>
    <r>
      <rPr>
        <sz val="11"/>
        <color rgb="FF000000"/>
        <rFont val="Calibri"/>
      </rPr>
      <t>From the vSphere Web Client select the ESXi Host and go to Configuration &gt;&gt; System &gt;&gt; Advanced System Settings. Click Edit and select the Config.HostAgent.plugins.hostsvc.esxAdminsGroup value and configure it to an Active Directory group other than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Config.HostAgent.plugins.hostsvc.esxAdminsGroup | Set-AdvancedSetting -Value &lt;AD Group&gt;</t>
    </r>
  </si>
  <si>
    <r>
      <rPr>
        <sz val="11"/>
        <color rgb="FF000000"/>
        <rFont val="Calibri"/>
      </rPr>
      <t>When adding ESXi hosts to Active Directory, if the group "ESX Admins" exists, all user/group accounts assigned to the group will have full administrative access to the host. Discretion should be used when managing membership to the "ESX Admins" group.</t>
    </r>
  </si>
  <si>
    <r>
      <rPr>
        <sz val="11"/>
        <color rgb="FF000000"/>
        <rFont val="Calibri"/>
      </rPr>
      <t>From the vSphere Web Client select the ESXi Host and go to Configuration &gt;&gt; System &gt;&gt; Advanced System Settings. Click Edit and select the Config.HostAgent.plugins.hostsvc.esxAdminsGroup value and verify it is not set to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Config.HostAgent.plugins.hostsvc.esxAdminsGroup</t>
    </r>
    <r>
      <rPr>
        <sz val="11"/>
        <color rgb="FF000000"/>
        <rFont val="Calibri"/>
      </rPr>
      <t xml:space="preserve">
</t>
    </r>
    <r>
      <rPr>
        <sz val="11"/>
        <color rgb="FF000000"/>
        <rFont val="Calibri"/>
      </rPr>
      <t>For systems that do not use Active Directory and have no local user accounts, other than root and/or vpxuser, this is not applicable.</t>
    </r>
    <r>
      <rPr>
        <sz val="11"/>
        <color rgb="FF000000"/>
        <rFont val="Calibri"/>
      </rPr>
      <t xml:space="preserve">
</t>
    </r>
    <r>
      <rPr>
        <sz val="11"/>
        <color rgb="FF000000"/>
        <rFont val="Calibri"/>
      </rPr>
      <t>For systems that do not use Active Directory and do have local user accounts, other than root and/or vpxuser, this is a finding.</t>
    </r>
    <r>
      <rPr>
        <sz val="11"/>
        <color rgb="FF000000"/>
        <rFont val="Calibri"/>
      </rPr>
      <t xml:space="preserve">
</t>
    </r>
    <r>
      <rPr>
        <sz val="11"/>
        <color rgb="FF000000"/>
        <rFont val="Calibri"/>
      </rPr>
      <t>If the "Config.HostAgent.plugins.hostsvc.esxAdminsGroup" keyword is set to "ESX Admins", this is a finding.</t>
    </r>
  </si>
  <si>
    <t>V-207641</t>
  </si>
  <si>
    <r>
      <rPr>
        <sz val="11"/>
        <rFont val="Calibri"/>
      </rPr>
      <t>The ESXi host must use multifactor authentication for local access to privileged accounts.</t>
    </r>
  </si>
  <si>
    <r>
      <rPr>
        <sz val="11"/>
        <color rgb="FF000000"/>
        <rFont val="Calibri"/>
      </rPr>
      <t xml:space="preserve">The following are pre-requisites to configuration smart card authentication for the ESXi DCUI: </t>
    </r>
    <r>
      <rPr>
        <sz val="11"/>
        <color rgb="FF000000"/>
        <rFont val="Calibri"/>
      </rPr>
      <t xml:space="preserve">
</t>
    </r>
    <r>
      <rPr>
        <sz val="11"/>
        <color rgb="FF000000"/>
        <rFont val="Calibri"/>
      </rPr>
      <t xml:space="preserve">-Active Directory domain that supports smart card authentication, smart card readers, and smart cards. </t>
    </r>
    <r>
      <rPr>
        <sz val="11"/>
        <color rgb="FF000000"/>
        <rFont val="Calibri"/>
      </rPr>
      <t xml:space="preserve">
</t>
    </r>
    <r>
      <rPr>
        <sz val="11"/>
        <color rgb="FF000000"/>
        <rFont val="Calibri"/>
      </rPr>
      <t xml:space="preserve">-ESXi joined to an Active Directory domain. </t>
    </r>
    <r>
      <rPr>
        <sz val="11"/>
        <color rgb="FF000000"/>
        <rFont val="Calibri"/>
      </rPr>
      <t xml:space="preserve">
</t>
    </r>
    <r>
      <rPr>
        <sz val="11"/>
        <color rgb="FF000000"/>
        <rFont val="Calibri"/>
      </rPr>
      <t xml:space="preserve">-Trusted certificates for root and intermediary certificate authorities. </t>
    </r>
    <r>
      <rPr>
        <sz val="11"/>
        <color rgb="FF000000"/>
        <rFont val="Calibri"/>
      </rPr>
      <t xml:space="preserve">
</t>
    </r>
    <r>
      <rPr>
        <sz val="11"/>
        <color rgb="FF000000"/>
        <rFont val="Calibri"/>
      </rPr>
      <t>From the vSphere Web Client select the ESXi Host and go to Configure &gt;&gt; System &gt;&gt; Authentication Services and click Edit and check "Enable Smart Card Authentication" checkbox, at the Certificates tab, click the green plus sign to import trusted certificate authority certificates and click OK.</t>
    </r>
  </si>
  <si>
    <r>
      <rPr>
        <sz val="11"/>
        <color rgb="FF000000"/>
        <rFont val="Calibri"/>
      </rPr>
      <t>To assure accountability and prevent unauthenticated access, privileged users must utilize multifactor authentication to prevent potential misuse and compromise of the system.</t>
    </r>
  </si>
  <si>
    <r>
      <rPr>
        <sz val="11"/>
        <color rgb="FF000000"/>
        <rFont val="Calibri"/>
      </rPr>
      <t>From the vSphere Web Client select the ESXi Host and go to Configure &gt;&gt; System &gt;&gt; Authentication Services and view the Smart Card Authentication status. If "Enable Smart Card Authentication" is checked, the system requires smart cards to authentication to an Active Directory Domain.</t>
    </r>
    <r>
      <rPr>
        <sz val="11"/>
        <color rgb="FF000000"/>
        <rFont val="Calibri"/>
      </rPr>
      <t xml:space="preserve">
</t>
    </r>
    <r>
      <rPr>
        <sz val="11"/>
        <color rgb="FF000000"/>
        <rFont val="Calibri"/>
      </rPr>
      <t>For systems that have no local user accounts, other than root and/or vpxuser, this is not applicable.</t>
    </r>
    <r>
      <rPr>
        <sz val="11"/>
        <color rgb="FF000000"/>
        <rFont val="Calibri"/>
      </rPr>
      <t xml:space="preserve">
</t>
    </r>
    <r>
      <rPr>
        <sz val="11"/>
        <color rgb="FF000000"/>
        <rFont val="Calibri"/>
      </rPr>
      <t>For environments that do not use vCenter server to manage ESXi, this is not applicable.</t>
    </r>
    <r>
      <rPr>
        <sz val="11"/>
        <color rgb="FF000000"/>
        <rFont val="Calibri"/>
      </rPr>
      <t xml:space="preserve">
</t>
    </r>
    <r>
      <rPr>
        <sz val="11"/>
        <color rgb="FF000000"/>
        <rFont val="Calibri"/>
      </rPr>
      <t>For systems that do not use smart cards with Active Directory and do have local user accounts, other than root and/or vpxuser, this is a finding.</t>
    </r>
  </si>
  <si>
    <t>V-207642</t>
  </si>
  <si>
    <r>
      <rPr>
        <sz val="11"/>
        <rFont val="Calibri"/>
      </rPr>
      <t>The ESXi host must set a timeout to automatically disable idle sessions after 10 minutes.</t>
    </r>
  </si>
  <si>
    <r>
      <rPr>
        <sz val="11"/>
        <color rgb="FF000000"/>
        <rFont val="Calibri"/>
      </rPr>
      <t>From the vSphere Web Client select the ESXi Host and go to Configure &gt;&gt; System &gt;&gt; Advanced System Settings. Click Edit and select the UserVars.ESXiShellInteractiveTimeOut value and configure it to 600.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UserVars.ESXiShellInteractiveTimeOut | Set-AdvancedSetting -Value 600</t>
    </r>
  </si>
  <si>
    <r>
      <rPr>
        <sz val="11"/>
        <color rgb="FF000000"/>
        <rFont val="Calibri"/>
      </rPr>
      <t>If a user forgets to log out of their SSH session, the idle connection will remains open indefinitely, increasing the potential for someone to gain privileged access to the host.  The ESXiShellInteractiveTimeOut allows you to automatically terminate idle shell sessions.</t>
    </r>
  </si>
  <si>
    <r>
      <rPr>
        <sz val="11"/>
        <color rgb="FF000000"/>
        <rFont val="Calibri"/>
      </rPr>
      <t>From the vSphere Web Client select the ESXi Host and go to Configure &gt;&gt; System &gt;&gt; Advanced System Settings. Select the UserVars.ESXiShellInteractiveTimeOut value and verify it is set to 600 (10 Minutes).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UserVars.ESXiShellInteractiveTimeOut</t>
    </r>
    <r>
      <rPr>
        <sz val="11"/>
        <color rgb="FF000000"/>
        <rFont val="Calibri"/>
      </rPr>
      <t xml:space="preserve">
</t>
    </r>
    <r>
      <rPr>
        <sz val="11"/>
        <color rgb="FF000000"/>
        <rFont val="Calibri"/>
      </rPr>
      <t>If the UserVars.ESXiShellInteractiveTimeOut setting is not set to 600, this is a finding.</t>
    </r>
  </si>
  <si>
    <t>V-207643</t>
  </si>
  <si>
    <r>
      <rPr>
        <sz val="11"/>
        <rFont val="Calibri"/>
      </rPr>
      <t>The ESXi host must terminate shell services after 10 minutes.</t>
    </r>
  </si>
  <si>
    <r>
      <rPr>
        <sz val="11"/>
        <color rgb="FF000000"/>
        <rFont val="Calibri"/>
      </rPr>
      <t>From the vSphere Web Client select the ESXi Host and go to Configure &gt;&gt; System &gt;&gt; Advanced System Settings. Click Edit and select the UserVars.ESXiShellTimeOut value and configure it to 600.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UserVars.ESXiShellTimeOut | Set-AdvancedSetting -Value 600</t>
    </r>
  </si>
  <si>
    <r>
      <rPr>
        <sz val="11"/>
        <color rgb="FF000000"/>
        <rFont val="Calibri"/>
      </rPr>
      <t>When the ESXi Shell or SSH services are enabled on a host they will run indefinitely.  To avoid having these services left running set the ESXiShellTimeOut.  The ESXiShellTimeOut defines a window of time after which the ESXi Shell and SSH services will automatically be terminated.</t>
    </r>
  </si>
  <si>
    <r>
      <rPr>
        <sz val="11"/>
        <color rgb="FF000000"/>
        <rFont val="Calibri"/>
      </rPr>
      <t>From the vSphere Web Client select the ESXi Host and go to Configure &gt;&gt; System &gt;&gt; Advanced System Settings. Select the UserVars.ESXiShellTimeOut value and verify it is set to 600 (10 Minutes).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UserVars.ESXiShellTimeOut</t>
    </r>
    <r>
      <rPr>
        <sz val="11"/>
        <color rgb="FF000000"/>
        <rFont val="Calibri"/>
      </rPr>
      <t xml:space="preserve">
</t>
    </r>
    <r>
      <rPr>
        <sz val="11"/>
        <color rgb="FF000000"/>
        <rFont val="Calibri"/>
      </rPr>
      <t>If the UserVars.ESXiShellTimeOut setting is not set to 600, this is a finding.</t>
    </r>
  </si>
  <si>
    <t>V-207644</t>
  </si>
  <si>
    <r>
      <rPr>
        <sz val="11"/>
        <rFont val="Calibri"/>
      </rPr>
      <t>The ESXi host must logout of the console UI after 10 minutes.</t>
    </r>
  </si>
  <si>
    <r>
      <rPr>
        <sz val="11"/>
        <color rgb="FF000000"/>
        <rFont val="Calibri"/>
      </rPr>
      <t>From the vSphere Web Client select the ESXi Host and go to Configure &gt;&gt; System &gt;&gt; Advanced System Settings. Click Edit and select the UserVars.DcuiTimeOut value and configure it to 600.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UserVars.DcuiTimeOut | Set-AdvancedSetting -Value 600</t>
    </r>
  </si>
  <si>
    <r>
      <rPr>
        <sz val="11"/>
        <color rgb="FF000000"/>
        <rFont val="Calibri"/>
      </rPr>
      <t>When the Direct console user interface (DCUI) is enabled and logged in it should be automatically logged out if left logged in to avoid unauthorized privilege gains.  The DcuiTimeOut defines a window of time after which the DCUI will be logged out.</t>
    </r>
  </si>
  <si>
    <r>
      <rPr>
        <sz val="11"/>
        <color rgb="FF000000"/>
        <rFont val="Calibri"/>
      </rPr>
      <t>From the vSphere Web Client select the ESXi Host and go to Configure &gt;&gt; System &gt;&gt; Advanced System Settings. Select the UserVars.DcuiTimeOut value and verify it is set to 600 (10 Minutes).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UserVars.DcuiTimeOut</t>
    </r>
    <r>
      <rPr>
        <sz val="11"/>
        <color rgb="FF000000"/>
        <rFont val="Calibri"/>
      </rPr>
      <t xml:space="preserve">
</t>
    </r>
    <r>
      <rPr>
        <sz val="11"/>
        <color rgb="FF000000"/>
        <rFont val="Calibri"/>
      </rPr>
      <t>If the UserVars.DcuiTimeOut setting is not set to 600, this is a finding.</t>
    </r>
  </si>
  <si>
    <t>V-207645</t>
  </si>
  <si>
    <r>
      <rPr>
        <sz val="11"/>
        <rFont val="Calibri"/>
      </rPr>
      <t>The ESXi host must enable kernel core dumps.</t>
    </r>
  </si>
  <si>
    <r>
      <rPr>
        <sz val="11"/>
        <color rgb="FF000000"/>
        <rFont val="Calibri"/>
      </rPr>
      <t>From the vSphere Web Client select the ESXi Host and right click. Select the "Add Diagnostic Partition" option configure a core dump diagnostic partition.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at least one of the following sets of commands:</t>
    </r>
    <r>
      <rPr>
        <sz val="11"/>
        <color rgb="FF000000"/>
        <rFont val="Calibri"/>
      </rPr>
      <t xml:space="preserve">
</t>
    </r>
    <r>
      <rPr>
        <sz val="11"/>
        <color rgb="FF000000"/>
        <rFont val="Calibri"/>
      </rPr>
      <t>To configure a core dump partition:</t>
    </r>
    <r>
      <rPr>
        <sz val="11"/>
        <color rgb="FF000000"/>
        <rFont val="Calibri"/>
      </rPr>
      <t xml:space="preserve">
</t>
    </r>
    <r>
      <rPr>
        <sz val="11"/>
        <color rgb="FF000000"/>
        <rFont val="Calibri"/>
      </rPr>
      <t>$esxcli = Get-EsxCli</t>
    </r>
    <r>
      <rPr>
        <sz val="11"/>
        <color rgb="FF000000"/>
        <rFont val="Calibri"/>
      </rPr>
      <t xml:space="preserve">
</t>
    </r>
    <r>
      <rPr>
        <sz val="11"/>
        <color rgb="FF000000"/>
        <rFont val="Calibri"/>
      </rPr>
      <t>#View available partitions to configure</t>
    </r>
    <r>
      <rPr>
        <sz val="11"/>
        <color rgb="FF000000"/>
        <rFont val="Calibri"/>
      </rPr>
      <t xml:space="preserve">
</t>
    </r>
    <r>
      <rPr>
        <sz val="11"/>
        <color rgb="FF000000"/>
        <rFont val="Calibri"/>
      </rPr>
      <t>$esxcli.system.coredump.partition.list()</t>
    </r>
    <r>
      <rPr>
        <sz val="11"/>
        <color rgb="FF000000"/>
        <rFont val="Calibri"/>
      </rPr>
      <t xml:space="preserve">
</t>
    </r>
    <r>
      <rPr>
        <sz val="11"/>
        <color rgb="FF000000"/>
        <rFont val="Calibri"/>
      </rPr>
      <t>$esxcli.system.coredump.partition.set($null,"PartitionName",$null,$null)</t>
    </r>
    <r>
      <rPr>
        <sz val="11"/>
        <color rgb="FF000000"/>
        <rFont val="Calibri"/>
      </rPr>
      <t xml:space="preserve">
</t>
    </r>
    <r>
      <rPr>
        <sz val="11"/>
        <color rgb="FF000000"/>
        <rFont val="Calibri"/>
      </rPr>
      <t>To configure a core dump collector:</t>
    </r>
    <r>
      <rPr>
        <sz val="11"/>
        <color rgb="FF000000"/>
        <rFont val="Calibri"/>
      </rPr>
      <t xml:space="preserve">
</t>
    </r>
    <r>
      <rPr>
        <sz val="11"/>
        <color rgb="FF000000"/>
        <rFont val="Calibri"/>
      </rPr>
      <t>$esxcli = Get-EsxCli</t>
    </r>
    <r>
      <rPr>
        <sz val="11"/>
        <color rgb="FF000000"/>
        <rFont val="Calibri"/>
      </rPr>
      <t xml:space="preserve">
</t>
    </r>
    <r>
      <rPr>
        <sz val="11"/>
        <color rgb="FF000000"/>
        <rFont val="Calibri"/>
      </rPr>
      <t>$esxcli.system.coredump.network.set($null,"vmkernel port to use",$null,"CollectorIP","CollectorPort")</t>
    </r>
    <r>
      <rPr>
        <sz val="11"/>
        <color rgb="FF000000"/>
        <rFont val="Calibri"/>
      </rPr>
      <t xml:space="preserve">
</t>
    </r>
    <r>
      <rPr>
        <sz val="11"/>
        <color rgb="FF000000"/>
        <rFont val="Calibri"/>
      </rPr>
      <t>$esxcli.system.coredump.network.set($true)</t>
    </r>
  </si>
  <si>
    <r>
      <rPr>
        <sz val="11"/>
        <color rgb="FF000000"/>
        <rFont val="Calibri"/>
      </rPr>
      <t>In the event of a system failure, the system must preserve any information necessary to determine cause of failure and any information necessary to return to operations with least disruption to mission processes.</t>
    </r>
  </si>
  <si>
    <r>
      <rPr>
        <sz val="11"/>
        <color rgb="FF000000"/>
        <rFont val="Calibri"/>
      </rPr>
      <t>From the vSphere Web Client select the ESXi Host and right click.  If the "Add Diagnostic Partition" option is greyed out then core dumps are configured.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t>
    </r>
    <r>
      <rPr>
        <sz val="11"/>
        <color rgb="FF000000"/>
        <rFont val="Calibri"/>
      </rPr>
      <t xml:space="preserve">
</t>
    </r>
    <r>
      <rPr>
        <sz val="11"/>
        <color rgb="FF000000"/>
        <rFont val="Calibri"/>
      </rPr>
      <t>$esxcli.system.coredump.partition.get()</t>
    </r>
    <r>
      <rPr>
        <sz val="11"/>
        <color rgb="FF000000"/>
        <rFont val="Calibri"/>
      </rPr>
      <t xml:space="preserve">
</t>
    </r>
    <r>
      <rPr>
        <sz val="11"/>
        <color rgb="FF000000"/>
        <rFont val="Calibri"/>
      </rPr>
      <t>$esxcli.system.coredump.network.get()</t>
    </r>
    <r>
      <rPr>
        <sz val="11"/>
        <color rgb="FF000000"/>
        <rFont val="Calibri"/>
      </rPr>
      <t xml:space="preserve">
</t>
    </r>
    <r>
      <rPr>
        <sz val="11"/>
        <color rgb="FF000000"/>
        <rFont val="Calibri"/>
      </rPr>
      <t xml:space="preserve">The first command prepares for the other two. The second command shows whether there is an active core dump partition configured. The third command shows whether a network core dump collector is configured and enabled, via the "HostVNic", "NetworkServerIP", "NetworkServerPort", and "Enabled" variables. </t>
    </r>
    <r>
      <rPr>
        <sz val="11"/>
        <color rgb="FF000000"/>
        <rFont val="Calibri"/>
      </rPr>
      <t xml:space="preserve">
</t>
    </r>
    <r>
      <rPr>
        <sz val="11"/>
        <color rgb="FF000000"/>
        <rFont val="Calibri"/>
      </rPr>
      <t>If there is no active core dump partition or the network core dump collector is not configured and enabled, this is a finding.</t>
    </r>
  </si>
  <si>
    <t>V-207646</t>
  </si>
  <si>
    <r>
      <rPr>
        <sz val="11"/>
        <rFont val="Calibri"/>
      </rPr>
      <t>The ESXi host must enable a persistent log location for all locally stored logs.</t>
    </r>
  </si>
  <si>
    <r>
      <rPr>
        <sz val="11"/>
        <color rgb="FF000000"/>
        <rFont val="Calibri"/>
      </rPr>
      <t>From the vSphere Web Client select the ESXi Host and go to Configure &gt;&gt; System &gt;&gt; Advanced System Settings. Click Edit and select the Syslog.global.logDir value and set it to a known persistent location.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Syslog.global.logDir | Set-AdvancedSetting -Value "New Log Location"</t>
    </r>
  </si>
  <si>
    <r>
      <rPr>
        <sz val="11"/>
        <color rgb="FF000000"/>
        <rFont val="Calibri"/>
      </rPr>
      <t>ESXi can be configured to store log files on an in-memory file system.  This occurs when the host's "/scratch" directory is linked to "/tmp/scratch". When this is done only a single day's worth of logs are stored at any time. In addition log files will be reinitialized upon each reboot.  This presents a security risk as user activity logged on the host is only stored temporarily and will not persistent across reboots.  This can also complicate auditing and make it harder to monitor events and diagnose issues.  ESXi host logging should always be configured to a persistent datastore.</t>
    </r>
    <r>
      <rPr>
        <sz val="11"/>
        <color rgb="FF000000"/>
        <rFont val="Calibri"/>
      </rPr>
      <t xml:space="preserve">
</t>
    </r>
    <r>
      <rPr>
        <sz val="11"/>
        <color rgb="FF000000"/>
        <rFont val="Calibri"/>
      </rPr>
      <t>Note: Scratch space is configured automatically during installation or first boot of an ESXi host, and does not usually need to be manually configured. ESXi Installable creates a 4 GB Fat16 partition on the target device during installation if there is sufficient space, and if the device is considered Local.  If ESXi is installed on an SD card or USB device a persistent log location may not be configured upon install as normal.</t>
    </r>
  </si>
  <si>
    <r>
      <rPr>
        <sz val="11"/>
        <color rgb="FF000000"/>
        <rFont val="Calibri"/>
      </rPr>
      <t>From the vSphere Web Client select the ESXi Host and go to Configure &gt;&gt; System &gt;&gt; Advanced System Settings. Select the Syslog.global.logDir value and verify it is set to a persistent location.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Syslog.global.logDir</t>
    </r>
    <r>
      <rPr>
        <sz val="11"/>
        <color rgb="FF000000"/>
        <rFont val="Calibri"/>
      </rPr>
      <t xml:space="preserve">
</t>
    </r>
    <r>
      <rPr>
        <sz val="11"/>
        <color rgb="FF000000"/>
        <rFont val="Calibri"/>
      </rPr>
      <t>or</t>
    </r>
    <r>
      <rPr>
        <sz val="11"/>
        <color rgb="FF000000"/>
        <rFont val="Calibri"/>
      </rPr>
      <t xml:space="preserve">
</t>
    </r>
    <r>
      <rPr>
        <sz val="11"/>
        <color rgb="FF000000"/>
        <rFont val="Calibri"/>
      </rPr>
      <t>$esxcli = Get-EsxCli</t>
    </r>
    <r>
      <rPr>
        <sz val="11"/>
        <color rgb="FF000000"/>
        <rFont val="Calibri"/>
      </rPr>
      <t xml:space="preserve">
</t>
    </r>
    <r>
      <rPr>
        <sz val="11"/>
        <color rgb="FF000000"/>
        <rFont val="Calibri"/>
      </rPr>
      <t>$esxcli.system.syslog.config.get() | Select LocalLogOutput,LocalLogOutputIsPersistent</t>
    </r>
    <r>
      <rPr>
        <sz val="11"/>
        <color rgb="FF000000"/>
        <rFont val="Calibri"/>
      </rPr>
      <t xml:space="preserve">
</t>
    </r>
    <r>
      <rPr>
        <sz val="11"/>
        <color rgb="FF000000"/>
        <rFont val="Calibri"/>
      </rPr>
      <t>If the Syslog.global.logDir or LocalLogOutput value is not on persistent storage, this is a finding.</t>
    </r>
    <r>
      <rPr>
        <sz val="11"/>
        <color rgb="FF000000"/>
        <rFont val="Calibri"/>
      </rPr>
      <t xml:space="preserve">
</t>
    </r>
    <r>
      <rPr>
        <sz val="11"/>
        <color rgb="FF000000"/>
        <rFont val="Calibri"/>
      </rPr>
      <t>If the LocalLogOutputIsPersistent value is not true, this is a finding.</t>
    </r>
  </si>
  <si>
    <t>V-207647</t>
  </si>
  <si>
    <r>
      <rPr>
        <sz val="11"/>
        <rFont val="Calibri"/>
      </rPr>
      <t>The ESXi host must configure NTP time synchronization.</t>
    </r>
  </si>
  <si>
    <r>
      <rPr>
        <sz val="11"/>
        <color rgb="FF000000"/>
        <rFont val="Calibri"/>
      </rPr>
      <t>From the vSphere Web Client select the ESXi Host and go to Configure &gt;&gt; System &gt;&gt; Time Configuration. Click Edit to configure the NTP service to start and stop with the host and with authoritative DoD time sources.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$NTPServers = "ntpserver1","ntpserver2"</t>
    </r>
    <r>
      <rPr>
        <sz val="11"/>
        <color rgb="FF000000"/>
        <rFont val="Calibri"/>
      </rPr>
      <t xml:space="preserve">
</t>
    </r>
    <r>
      <rPr>
        <sz val="11"/>
        <color rgb="FF000000"/>
        <rFont val="Calibri"/>
      </rPr>
      <t>Get-VMHost | Add-VMHostNTPServer $NTPServers</t>
    </r>
    <r>
      <rPr>
        <sz val="11"/>
        <color rgb="FF000000"/>
        <rFont val="Calibri"/>
      </rPr>
      <t xml:space="preserve">
</t>
    </r>
    <r>
      <rPr>
        <sz val="11"/>
        <color rgb="FF000000"/>
        <rFont val="Calibri"/>
      </rPr>
      <t>Get-VMHost | Get-VMHostService | Where {$_.Label -eq "NTP Daemon"} | Set-VMHostService -Policy On</t>
    </r>
    <r>
      <rPr>
        <sz val="11"/>
        <color rgb="FF000000"/>
        <rFont val="Calibri"/>
      </rPr>
      <t xml:space="preserve">
</t>
    </r>
    <r>
      <rPr>
        <sz val="11"/>
        <color rgb="FF000000"/>
        <rFont val="Calibri"/>
      </rPr>
      <t>Get-VMHost | Get-VMHostService | Where {$_.Label -eq "NTP Daemon"} | Start-VMHostService</t>
    </r>
  </si>
  <si>
    <r>
      <rPr>
        <sz val="11"/>
        <color rgb="FF000000"/>
        <rFont val="Calibri"/>
      </rPr>
      <t>To assure the accuracy of the system clock, it must be synchronized with an authoritative time source within DoD. Many system functions, including time-based login and activity restrictions, automated reports, system logs, and audit records depend on an accurate system clock. If there is no confidence in the correctness of the system clock, time-based functions may not operate as intended and records may be of diminished value.</t>
    </r>
  </si>
  <si>
    <r>
      <rPr>
        <sz val="11"/>
        <color rgb="FF000000"/>
        <rFont val="Calibri"/>
      </rPr>
      <t>From the vSphere Web Client select the ESXi Host and go to Configure &gt;&gt; System &gt;&gt; Time Configuration. Click Edit to verify the configured NTP servers and service startup policy.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Get-VMHostNTPServer</t>
    </r>
    <r>
      <rPr>
        <sz val="11"/>
        <color rgb="FF000000"/>
        <rFont val="Calibri"/>
      </rPr>
      <t xml:space="preserve">
</t>
    </r>
    <r>
      <rPr>
        <sz val="11"/>
        <color rgb="FF000000"/>
        <rFont val="Calibri"/>
      </rPr>
      <t>Get-VMHost | Get-VMHostService | Where {$_.Label -eq "NTP Daemon"}</t>
    </r>
    <r>
      <rPr>
        <sz val="11"/>
        <color rgb="FF000000"/>
        <rFont val="Calibri"/>
      </rPr>
      <t xml:space="preserve">
</t>
    </r>
    <r>
      <rPr>
        <sz val="11"/>
        <color rgb="FF000000"/>
        <rFont val="Calibri"/>
      </rPr>
      <t>If the NTP service is not configured with authoritative DoD time sources and the service is not configured to start and stop with the host and is running, this is a finding.</t>
    </r>
  </si>
  <si>
    <t>V-207648</t>
  </si>
  <si>
    <r>
      <rPr>
        <sz val="11"/>
        <rFont val="Calibri"/>
      </rPr>
      <t>The ESXi Image Profile and VIB Acceptance Levels must be verified.</t>
    </r>
  </si>
  <si>
    <r>
      <rPr>
        <sz val="11"/>
        <color rgb="FF000000"/>
        <rFont val="Calibri"/>
      </rPr>
      <t>From the vSphere Web Client select the ESXi Host and go to Configure &gt;&gt; System &gt;&gt; Security Profile. Under "Host Image Profile Acceptance Level" click Edit… and use the pull-down selection, set the acceptance level to be VMwareCertified, VMwareAccepted, or PartnerSupported.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t>
    </r>
    <r>
      <rPr>
        <sz val="11"/>
        <color rgb="FF000000"/>
        <rFont val="Calibri"/>
      </rPr>
      <t xml:space="preserve">
</t>
    </r>
    <r>
      <rPr>
        <sz val="11"/>
        <color rgb="FF000000"/>
        <rFont val="Calibri"/>
      </rPr>
      <t>$esxcli.software.acceptance.Set("PartnerSupported")</t>
    </r>
    <r>
      <rPr>
        <sz val="11"/>
        <color rgb="FF000000"/>
        <rFont val="Calibri"/>
      </rPr>
      <t xml:space="preserve">
</t>
    </r>
    <r>
      <rPr>
        <sz val="11"/>
        <color rgb="FF000000"/>
        <rFont val="Calibri"/>
      </rPr>
      <t>Note: VMwareCertified or VMwareAccepted may be substituted for PartnerSupported, depending upon local requirements.</t>
    </r>
  </si>
  <si>
    <r>
      <rPr>
        <sz val="11"/>
        <color rgb="FF000000"/>
        <rFont val="Calibri"/>
      </rPr>
      <t xml:space="preserve">Verify the ESXi Image Profile to only allow signed VIBs.  An unsigned VIB represents untested code installed on an ESXi host.  The ESXi Image profile supports four acceptance levels: </t>
    </r>
    <r>
      <rPr>
        <sz val="11"/>
        <color rgb="FF000000"/>
        <rFont val="Calibri"/>
      </rPr>
      <t xml:space="preserve">
</t>
    </r>
    <r>
      <rPr>
        <sz val="11"/>
        <color rgb="FF000000"/>
        <rFont val="Calibri"/>
      </rPr>
      <t>(1) VMwareCertified - VIBs created, tested and signed by VMware</t>
    </r>
    <r>
      <rPr>
        <sz val="11"/>
        <color rgb="FF000000"/>
        <rFont val="Calibri"/>
      </rPr>
      <t xml:space="preserve">
</t>
    </r>
    <r>
      <rPr>
        <sz val="11"/>
        <color rgb="FF000000"/>
        <rFont val="Calibri"/>
      </rPr>
      <t xml:space="preserve">(2) VMwareAccepted - VIBs created by a VMware partner but tested and signed by VMware, </t>
    </r>
    <r>
      <rPr>
        <sz val="11"/>
        <color rgb="FF000000"/>
        <rFont val="Calibri"/>
      </rPr>
      <t xml:space="preserve">
</t>
    </r>
    <r>
      <rPr>
        <sz val="11"/>
        <color rgb="FF000000"/>
        <rFont val="Calibri"/>
      </rPr>
      <t xml:space="preserve">(3) PartnerSupported - VIBs created, tested and signed by a certified VMware partner </t>
    </r>
    <r>
      <rPr>
        <sz val="11"/>
        <color rgb="FF000000"/>
        <rFont val="Calibri"/>
      </rPr>
      <t xml:space="preserve">
</t>
    </r>
    <r>
      <rPr>
        <sz val="11"/>
        <color rgb="FF000000"/>
        <rFont val="Calibri"/>
      </rPr>
      <t xml:space="preserve">(4) CommunitySupported - VIBs that have not been tested by VMware or a VMware partner.  </t>
    </r>
    <r>
      <rPr>
        <sz val="11"/>
        <color rgb="FF000000"/>
        <rFont val="Calibri"/>
      </rPr>
      <t xml:space="preserve">
</t>
    </r>
    <r>
      <rPr>
        <sz val="11"/>
        <color rgb="FF000000"/>
        <rFont val="Calibri"/>
      </rPr>
      <t>Community Supported VIBs are not supported and do not have a digital signature.  To protect the security and integrity of your ESXi hosts do not allow unsigned (CommunitySupported) VIBs to be installed on your hosts.</t>
    </r>
  </si>
  <si>
    <r>
      <rPr>
        <sz val="11"/>
        <color rgb="FF000000"/>
        <rFont val="Calibri"/>
      </rPr>
      <t>From the vSphere Web Client select the ESXi Host and go to Configure &gt;&gt; System &gt;&gt; Security Profile. Under "Host Image Profile Acceptance Level" view the acceptance level.</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t>
    </r>
    <r>
      <rPr>
        <sz val="11"/>
        <color rgb="FF000000"/>
        <rFont val="Calibri"/>
      </rPr>
      <t xml:space="preserve">
</t>
    </r>
    <r>
      <rPr>
        <sz val="11"/>
        <color rgb="FF000000"/>
        <rFont val="Calibri"/>
      </rPr>
      <t>$esxcli.software.acceptance.get()</t>
    </r>
    <r>
      <rPr>
        <sz val="11"/>
        <color rgb="FF000000"/>
        <rFont val="Calibri"/>
      </rPr>
      <t xml:space="preserve">
</t>
    </r>
    <r>
      <rPr>
        <sz val="11"/>
        <color rgb="FF000000"/>
        <rFont val="Calibri"/>
      </rPr>
      <t>If the acceptance level is CommunitySupported, this is a finding.</t>
    </r>
  </si>
  <si>
    <t>V-207649</t>
  </si>
  <si>
    <r>
      <rPr>
        <sz val="11"/>
        <rFont val="Calibri"/>
      </rPr>
      <t>The ESXi host must protect the confidentiality and integrity of transmitted information by isolating vMotion traffic.</t>
    </r>
  </si>
  <si>
    <r>
      <rPr>
        <sz val="11"/>
        <color rgb="FF000000"/>
        <rFont val="Calibri"/>
      </rPr>
      <t>Configuration of the vMotion VMkernel will be unique to each environment. As an example, to modify the IP address and VLAN information to the correct network on a distributed switch do the following:</t>
    </r>
    <r>
      <rPr>
        <sz val="11"/>
        <color rgb="FF000000"/>
        <rFont val="Calibri"/>
      </rPr>
      <t xml:space="preserve">
</t>
    </r>
    <r>
      <rPr>
        <sz val="11"/>
        <color rgb="FF000000"/>
        <rFont val="Calibri"/>
      </rPr>
      <t>From the vSphere Web Client go to Networking &gt;&gt; Select a distributed switch &gt;&gt; Select a port group &gt;&gt; Configure &gt;&gt; Settings &gt;&gt; Edit &gt;&gt; VLAN. Change the "VLAN Type" to "VLAN" and change the "VLAN ID" to a network allocated and dedicated to vMotion traffic exclusively.</t>
    </r>
  </si>
  <si>
    <r>
      <rPr>
        <sz val="11"/>
        <color rgb="FF000000"/>
        <rFont val="Calibri"/>
      </rPr>
      <t>While encrypted vMotion is available now vMotion traffic should still be sequestered from other traffic to further protect it from attack. This network must be only be accessible to other ESXi hosts preventing outside access to the network.</t>
    </r>
  </si>
  <si>
    <r>
      <rPr>
        <sz val="11"/>
        <color rgb="FF000000"/>
        <rFont val="Calibri"/>
      </rPr>
      <t>The vMotion VMKernel port group should in a dedicated VLAN that can be on a common standard or distributed virtual switch as long as the vMotion VLAN is not shared by any other function and it not routed to anything but ESXi hosts.  The check for this will be unique per environment.  From the vSphere Client select the ESXi host and go to Configuration &gt; Networking and review the VLAN associated with the vMotion VMkernel(s) and verify they are dedicated for that purpose and are logically separated from other functions.</t>
    </r>
    <r>
      <rPr>
        <sz val="11"/>
        <color rgb="FF000000"/>
        <rFont val="Calibri"/>
      </rPr>
      <t xml:space="preserve">
</t>
    </r>
    <r>
      <rPr>
        <sz val="11"/>
        <color rgb="FF000000"/>
        <rFont val="Calibri"/>
      </rPr>
      <t>If long distance or cross vCenter vMotion is used the vMotion network can be routable but must be accessible to only the intended ESXi hosts.</t>
    </r>
    <r>
      <rPr>
        <sz val="11"/>
        <color rgb="FF000000"/>
        <rFont val="Calibri"/>
      </rPr>
      <t xml:space="preserve">
</t>
    </r>
    <r>
      <rPr>
        <sz val="11"/>
        <color rgb="FF000000"/>
        <rFont val="Calibri"/>
      </rPr>
      <t>If the vMotion port group is not on an isolated VLAN and/or is routable to systems other than ESXi hosts, this is a finding.</t>
    </r>
    <r>
      <rPr>
        <sz val="11"/>
        <color rgb="FF000000"/>
        <rFont val="Calibri"/>
      </rPr>
      <t xml:space="preserve">
</t>
    </r>
    <r>
      <rPr>
        <sz val="11"/>
        <color rgb="FF000000"/>
        <rFont val="Calibri"/>
      </rPr>
      <t>For environments that do not use vCenter server to manage ESXi, this is not applicable.</t>
    </r>
  </si>
  <si>
    <t>V-207650</t>
  </si>
  <si>
    <r>
      <rPr>
        <sz val="11"/>
        <rFont val="Calibri"/>
      </rPr>
      <t>The ESXi host must protect the confidentiality and integrity of transmitted information by protecting IP based management traffic.</t>
    </r>
  </si>
  <si>
    <r>
      <rPr>
        <sz val="11"/>
        <color rgb="FF000000"/>
        <rFont val="Calibri"/>
      </rPr>
      <t>Configuration of an IP-Based VMkernel will be unique to each environment but for example to modify the IP address and VLAN information to the correct network on a standard switch for an iSCSI VMkernel do the following:</t>
    </r>
    <r>
      <rPr>
        <sz val="11"/>
        <color rgb="FF000000"/>
        <rFont val="Calibri"/>
      </rPr>
      <t xml:space="preserve">
</t>
    </r>
    <r>
      <rPr>
        <sz val="11"/>
        <color rgb="FF000000"/>
        <rFont val="Calibri"/>
      </rPr>
      <t xml:space="preserve">From the vSphere Web Client select the ESXi host and go to Configure &gt;&gt; Networking &gt;&gt; VMkernel adapters. Select the Storage VMkernel (for vSAN only) and click Edit settings &gt;&gt; On the Port properties tab uncheck everything but "vSAN.” On the IP Settings tab &gt;&gt; Enter the appropriate IP address and subnet information and click OK. </t>
    </r>
    <r>
      <rPr>
        <sz val="11"/>
        <color rgb="FF000000"/>
        <rFont val="Calibri"/>
      </rPr>
      <t xml:space="preserve">
</t>
    </r>
    <r>
      <rPr>
        <sz val="11"/>
        <color rgb="FF000000"/>
        <rFont val="Calibri"/>
      </rPr>
      <t>Set the appropriate VLAN ID &gt;&gt; Configure &gt;&gt; Networking &gt;&gt; Virtual switches. Select the Storage portgroup (iSCSI, NFS, vSAN) and click Edit settings &gt;&gt; On the properties tab, enter the appropriate VLAN ID and click OK.</t>
    </r>
  </si>
  <si>
    <r>
      <rPr>
        <sz val="11"/>
        <color rgb="FF000000"/>
        <rFont val="Calibri"/>
      </rPr>
      <t>Virtual machines might share virtual switches and VLANs with the IP-based storage configurations. IP-based storage includes vSAN, iSCSI and NFS. This configuration might expose IP-based storage traffic to unauthorized virtual machine users. IP-based storage frequently is not encrypted. It can be viewed by anyone with access to this network. To restrict unauthorized users from viewing the IP-based storage traffic, the IP-based storage network must be logically separated from the production traffic. Configuring the IP-based storage adaptors on separate VLANs or network segments from other VMkernels and Virtual Machines will limit unauthorized users from viewing the traffic.</t>
    </r>
  </si>
  <si>
    <r>
      <rPr>
        <sz val="11"/>
        <color rgb="FF000000"/>
        <rFont val="Calibri"/>
      </rPr>
      <t xml:space="preserve">IP-Based storage (iSCSI, NFS, vSAN) VMkernel port groups must be in a dedicated VLAN that can be on a common standard or distributed virtual switch that is logically separated from other traffic types.  The check for this will be unique per environment.  </t>
    </r>
    <r>
      <rPr>
        <sz val="11"/>
        <color rgb="FF000000"/>
        <rFont val="Calibri"/>
      </rPr>
      <t xml:space="preserve">
</t>
    </r>
    <r>
      <rPr>
        <sz val="11"/>
        <color rgb="FF000000"/>
        <rFont val="Calibri"/>
      </rPr>
      <t>From the vSphere Web Client select the ESXi Host and go to Configure &gt;&gt; Networking &gt;&gt; VMkernel adapters and review the VLANs associated with any IP-Based storage VMkernels and verify they are dedicated for that purpose and are logically separated from other functions.</t>
    </r>
    <r>
      <rPr>
        <sz val="11"/>
        <color rgb="FF000000"/>
        <rFont val="Calibri"/>
      </rPr>
      <t xml:space="preserve">
</t>
    </r>
    <r>
      <rPr>
        <sz val="11"/>
        <color rgb="FF000000"/>
        <rFont val="Calibri"/>
      </rPr>
      <t>If any IP-Based storage networks are not isolated from other traffic types, this is a finding.</t>
    </r>
    <r>
      <rPr>
        <sz val="11"/>
        <color rgb="FF000000"/>
        <rFont val="Calibri"/>
      </rPr>
      <t xml:space="preserve">
</t>
    </r>
    <r>
      <rPr>
        <sz val="11"/>
        <color rgb="FF000000"/>
        <rFont val="Calibri"/>
      </rPr>
      <t>If IP-based storage is not used, this is not applicable.</t>
    </r>
  </si>
  <si>
    <t>V-207651</t>
  </si>
  <si>
    <r>
      <rPr>
        <sz val="11"/>
        <rFont val="Calibri"/>
      </rPr>
      <t>The ESXi host must protect the confidentiality and integrity of transmitted information by utilizing different TCP/IP stacks where possible.</t>
    </r>
  </si>
  <si>
    <r>
      <rPr>
        <sz val="11"/>
        <color rgb="FF000000"/>
        <rFont val="Calibri"/>
      </rPr>
      <t>From the vSphere Web Client select the ESXi Host and go to Configure &gt;&gt; Networking &gt;&gt; TCP/IP configuration &gt;&gt; Select a TCP/IP stack &gt;&gt; Click Edit &gt;&gt; Enter the appropriate site specific IP address information for the particular TCP/IP stack and click OK.</t>
    </r>
  </si>
  <si>
    <r>
      <rPr>
        <sz val="11"/>
        <color rgb="FF000000"/>
        <rFont val="Calibri"/>
      </rPr>
      <t>There are three different TCP/IP stacks by default available on ESXi now which are Default, Provisioning, and vMotion.  To better protect and isolate sensitive network traffic within ESXi admins must configure each of these stacks.  Additional custom TCP/IP stacks can be created if desired.</t>
    </r>
  </si>
  <si>
    <r>
      <rPr>
        <sz val="11"/>
        <color rgb="FF000000"/>
        <rFont val="Calibri"/>
      </rPr>
      <t>From the vSphere Web Client select the ESXi Host and go to Configure &gt;&gt; Networking &gt;&gt; TCP/IP configuration. Review the default system TCP/IP stacks and verify they are configured with the appropriate IP address information.</t>
    </r>
    <r>
      <rPr>
        <sz val="11"/>
        <color rgb="FF000000"/>
        <rFont val="Calibri"/>
      </rPr>
      <t xml:space="preserve">
</t>
    </r>
    <r>
      <rPr>
        <sz val="11"/>
        <color rgb="FF000000"/>
        <rFont val="Calibri"/>
      </rPr>
      <t>If vMotion and Provisioning VMKernels are in use and are not utilizing their own TCP/IP stack, this is a finding.</t>
    </r>
  </si>
  <si>
    <t>V-207652</t>
  </si>
  <si>
    <r>
      <rPr>
        <sz val="11"/>
        <rFont val="Calibri"/>
      </rPr>
      <t>SNMP must be configured properly on the ESXi host.</t>
    </r>
  </si>
  <si>
    <r>
      <rPr>
        <sz val="11"/>
        <color rgb="FF000000"/>
        <rFont val="Calibri"/>
      </rPr>
      <t>To disable SNMP run the following command from a PowerCLI command prompt while connected to the ESXi Host:</t>
    </r>
    <r>
      <rPr>
        <sz val="11"/>
        <color rgb="FF000000"/>
        <rFont val="Calibri"/>
      </rPr>
      <t xml:space="preserve">
</t>
    </r>
    <r>
      <rPr>
        <sz val="11"/>
        <color rgb="FF000000"/>
        <rFont val="Calibri"/>
      </rPr>
      <t>Get-VMHostSnmp | Set-VMHostSnmp -Enabled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console or ssh session run the follow command:</t>
    </r>
    <r>
      <rPr>
        <sz val="11"/>
        <color rgb="FF000000"/>
        <rFont val="Calibri"/>
      </rPr>
      <t xml:space="preserve">
</t>
    </r>
    <r>
      <rPr>
        <sz val="11"/>
        <color rgb="FF000000"/>
        <rFont val="Calibri"/>
      </rPr>
      <t>esxcli system snmp set -e no</t>
    </r>
    <r>
      <rPr>
        <sz val="11"/>
        <color rgb="FF000000"/>
        <rFont val="Calibri"/>
      </rPr>
      <t xml:space="preserve">
</t>
    </r>
    <r>
      <rPr>
        <sz val="11"/>
        <color rgb="FF000000"/>
        <rFont val="Calibri"/>
      </rPr>
      <t>To configure SNMP for v3 targets use the "esxcli system snmp set" command set.</t>
    </r>
  </si>
  <si>
    <r>
      <rPr>
        <sz val="11"/>
        <color rgb="FF000000"/>
        <rFont val="Calibri"/>
      </rPr>
      <t>If SNMP is not being used, it must remain disabled. If it is being used, the proper trap destination must be configured. If SNMP is not properly configured, monitoring information can be sent to a malicious host that can then use this information to plan an attack.</t>
    </r>
  </si>
  <si>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Get-VMHostSnmp | Select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console or ssh session run the follow command:</t>
    </r>
    <r>
      <rPr>
        <sz val="11"/>
        <color rgb="FF000000"/>
        <rFont val="Calibri"/>
      </rPr>
      <t xml:space="preserve">
</t>
    </r>
    <r>
      <rPr>
        <sz val="11"/>
        <color rgb="FF000000"/>
        <rFont val="Calibri"/>
      </rPr>
      <t>esxcli system snmp get</t>
    </r>
    <r>
      <rPr>
        <sz val="11"/>
        <color rgb="FF000000"/>
        <rFont val="Calibri"/>
      </rPr>
      <t xml:space="preserve">
</t>
    </r>
    <r>
      <rPr>
        <sz val="11"/>
        <color rgb="FF000000"/>
        <rFont val="Calibri"/>
      </rPr>
      <t>If SNMP is not in use and is enabled, this is a finding.</t>
    </r>
    <r>
      <rPr>
        <sz val="11"/>
        <color rgb="FF000000"/>
        <rFont val="Calibri"/>
      </rPr>
      <t xml:space="preserve">
</t>
    </r>
    <r>
      <rPr>
        <sz val="11"/>
        <color rgb="FF000000"/>
        <rFont val="Calibri"/>
      </rPr>
      <t>If SNMP is enabled and read only communities is set to public, this is a finding.</t>
    </r>
    <r>
      <rPr>
        <sz val="11"/>
        <color rgb="FF000000"/>
        <rFont val="Calibri"/>
      </rPr>
      <t xml:space="preserve">
</t>
    </r>
    <r>
      <rPr>
        <sz val="11"/>
        <color rgb="FF000000"/>
        <rFont val="Calibri"/>
      </rPr>
      <t>If SNMP is enabled and is not using v3 targets, this is a finding.</t>
    </r>
    <r>
      <rPr>
        <sz val="11"/>
        <color rgb="FF000000"/>
        <rFont val="Calibri"/>
      </rPr>
      <t xml:space="preserve">
</t>
    </r>
    <r>
      <rPr>
        <sz val="11"/>
        <color rgb="FF000000"/>
        <rFont val="Calibri"/>
      </rPr>
      <t>Note: SNMP v3 targets can only be viewed and configured from the esxcli command.</t>
    </r>
  </si>
  <si>
    <t>V-207653</t>
  </si>
  <si>
    <r>
      <rPr>
        <sz val="11"/>
        <rFont val="Calibri"/>
      </rPr>
      <t>The ESXi host must enable bidirectional CHAP authentication for iSCSI traffic.</t>
    </r>
  </si>
  <si>
    <r>
      <rPr>
        <sz val="11"/>
        <color rgb="FF000000"/>
        <rFont val="Calibri"/>
      </rPr>
      <t>From the vSphere Web Client select the ESXi Host and go to Configure &gt;&gt; Storage &gt;&gt; Storage Adapters &gt;&gt; Select the iSCSI adapter &gt;&gt; Properties &gt;&gt; Authentication and click the Edit button. Set Authentication method to “Use bidirectional CHAP” and enter a unique secret for each traffic flow direction.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Get-VMHostHba | Where {$_.Type -eq "iscsi"} | Set-VMHostHba -ChapType Required -ChapName "chapname" -ChapPassword "password" -MutualChapEnabled $true -MutualChapName "mutualchapname" -MutualChapPassword "mutualpassword"</t>
    </r>
  </si>
  <si>
    <r>
      <rPr>
        <sz val="11"/>
        <color rgb="FF000000"/>
        <rFont val="Calibri"/>
      </rPr>
      <t>When enabled, vSphere performs bidirectional authentication of both the iSCSI target and host. There is a potential for a MiTM attack, when not authenticating both the iSCSI target and host, in which an attacker might impersonate either side of the connection to steal data. Bidirectional authentication mitigates this risk.</t>
    </r>
  </si>
  <si>
    <r>
      <rPr>
        <sz val="11"/>
        <color rgb="FF000000"/>
        <rFont val="Calibri"/>
      </rPr>
      <t>From the vSphere Web Client select the ESXi Host and go to Configure &gt;&gt; Storage &gt;&gt; Storage Adapters &gt;&gt; Select the iSCSI adapter &gt;&gt; Properties &gt;&gt; Authentication method and view the CHAP configuration and verify CHAP is "Required" for target and host authentication.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Get-VMHostHba | Where {$_.Type -eq "iscsi"} | Select AuthenticationProperties -ExpandProperty AuthenticationProperties</t>
    </r>
    <r>
      <rPr>
        <sz val="11"/>
        <color rgb="FF000000"/>
        <rFont val="Calibri"/>
      </rPr>
      <t xml:space="preserve">
</t>
    </r>
    <r>
      <rPr>
        <sz val="11"/>
        <color rgb="FF000000"/>
        <rFont val="Calibri"/>
      </rPr>
      <t>If iSCSI is not used, this is not a finding.</t>
    </r>
    <r>
      <rPr>
        <sz val="11"/>
        <color rgb="FF000000"/>
        <rFont val="Calibri"/>
      </rPr>
      <t xml:space="preserve">
</t>
    </r>
    <r>
      <rPr>
        <sz val="11"/>
        <color rgb="FF000000"/>
        <rFont val="Calibri"/>
      </rPr>
      <t>If iSCSI is used and CHAP is not set to "Required" for both the target and host, this is a finding.</t>
    </r>
    <r>
      <rPr>
        <sz val="11"/>
        <color rgb="FF000000"/>
        <rFont val="Calibri"/>
      </rPr>
      <t xml:space="preserve">
</t>
    </r>
    <r>
      <rPr>
        <sz val="11"/>
        <color rgb="FF000000"/>
        <rFont val="Calibri"/>
      </rPr>
      <t>If iSCSI is used and unique CHAP secrets are not used for each host, this is a finding.</t>
    </r>
  </si>
  <si>
    <t>V-207654</t>
  </si>
  <si>
    <r>
      <rPr>
        <sz val="11"/>
        <rFont val="Calibri"/>
      </rPr>
      <t>The ESXi host must disable Inter-VM transparent page sharing.</t>
    </r>
  </si>
  <si>
    <r>
      <rPr>
        <sz val="11"/>
        <color rgb="FF000000"/>
        <rFont val="Calibri"/>
      </rPr>
      <t>From the vSphere Web Client select the ESXi Host and go to Configure &gt;&gt; System &gt;&gt; Advanced System Settings. Click Edit and select the Mem.ShareForceSalting value and configure it to 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Mem.ShareForceSalting | Set-AdvancedSetting -Value 2</t>
    </r>
  </si>
  <si>
    <r>
      <rPr>
        <sz val="11"/>
        <color rgb="FF000000"/>
        <rFont val="Calibri"/>
      </rPr>
      <t>Published academic papers have demonstrated that by forcing a flush and reload of cache memory, it is possible to measure memory timings to try and determine an AES encryption key in use on another virtual machine running on the same physical processor of the host server if Transparent Page Sharing is enabled between the two virtual machines. This technique works only in a highly controlled system configured in a non-standard way that VMware believes would not be recreated in a production environment.</t>
    </r>
    <r>
      <rPr>
        <sz val="11"/>
        <color rgb="FF000000"/>
        <rFont val="Calibri"/>
      </rPr>
      <t xml:space="preserve">
</t>
    </r>
    <r>
      <rPr>
        <sz val="11"/>
        <color rgb="FF000000"/>
        <rFont val="Calibri"/>
      </rPr>
      <t>Even though VMware believes information being disclosed in real world conditions is unrealistic, out of an abundance of caution upcoming ESXi Update releases will no longer enable TPS between Virtual Machines by default (TPS will still be utilized within individual VMs).</t>
    </r>
  </si>
  <si>
    <r>
      <rPr>
        <sz val="11"/>
        <color rgb="FF000000"/>
        <rFont val="Calibri"/>
      </rPr>
      <t>From the vSphere Web Client select the ESXi Host and go to Configure &gt;&gt; System &gt;&gt; Advanced System Settings. Select the Mem.ShareForceSalting value and verify it is set to 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Mem.ShareForceSalting</t>
    </r>
    <r>
      <rPr>
        <sz val="11"/>
        <color rgb="FF000000"/>
        <rFont val="Calibri"/>
      </rPr>
      <t xml:space="preserve">
</t>
    </r>
    <r>
      <rPr>
        <sz val="11"/>
        <color rgb="FF000000"/>
        <rFont val="Calibri"/>
      </rPr>
      <t>If the Mem.ShareForceSalting setting is not set to 2, this is a finding.</t>
    </r>
  </si>
  <si>
    <t>V-207655</t>
  </si>
  <si>
    <r>
      <rPr>
        <sz val="11"/>
        <rFont val="Calibri"/>
      </rPr>
      <t>The ESXi host must configure the firewall to restrict access to services running on the host.</t>
    </r>
  </si>
  <si>
    <r>
      <rPr>
        <sz val="11"/>
        <color rgb="FF000000"/>
        <rFont val="Calibri"/>
      </rPr>
      <t>From the vSphere Web Client select the ESXi Host and go to Configure &gt;&gt; System &gt;&gt; Security Profile. Under the Firewall section click Edit and for each enabled service uncheck the check box to “Allow connections from any IP address,” and input the site specific network(s) required.Configure this for Incoming and Outgoing connections.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$esxcli = Get-EsxCli</t>
    </r>
    <r>
      <rPr>
        <sz val="11"/>
        <color rgb="FF000000"/>
        <rFont val="Calibri"/>
      </rPr>
      <t xml:space="preserve">
</t>
    </r>
    <r>
      <rPr>
        <sz val="11"/>
        <color rgb="FF000000"/>
        <rFont val="Calibri"/>
      </rPr>
      <t>#This disables the allow all rule for the target service</t>
    </r>
    <r>
      <rPr>
        <sz val="11"/>
        <color rgb="FF000000"/>
        <rFont val="Calibri"/>
      </rPr>
      <t xml:space="preserve">
</t>
    </r>
    <r>
      <rPr>
        <sz val="11"/>
        <color rgb="FF000000"/>
        <rFont val="Calibri"/>
      </rPr>
      <t>$esxcli.network.firewall.ruleset.set($false,$true,"sshServer")</t>
    </r>
    <r>
      <rPr>
        <sz val="11"/>
        <color rgb="FF000000"/>
        <rFont val="Calibri"/>
      </rPr>
      <t xml:space="preserve">
</t>
    </r>
    <r>
      <rPr>
        <sz val="11"/>
        <color rgb="FF000000"/>
        <rFont val="Calibri"/>
      </rPr>
      <t>$esxcli.network.firewall.ruleset.allowedip.add("192.168.0.0/24","sshServer")</t>
    </r>
    <r>
      <rPr>
        <sz val="11"/>
        <color rgb="FF000000"/>
        <rFont val="Calibri"/>
      </rPr>
      <t xml:space="preserve">
</t>
    </r>
    <r>
      <rPr>
        <sz val="11"/>
        <color rgb="FF000000"/>
        <rFont val="Calibri"/>
      </rPr>
      <t>This must be done for each enabled service.</t>
    </r>
  </si>
  <si>
    <r>
      <rPr>
        <sz val="11"/>
        <color rgb="FF000000"/>
        <rFont val="Calibri"/>
      </rPr>
      <t>Unrestricted access to services running on an ESXi host can expose a host to outside attacks and unauthorized access. Reduce the risk by configuring the ESXi firewall to only allow access from authorized networks.</t>
    </r>
  </si>
  <si>
    <r>
      <rPr>
        <sz val="11"/>
        <color rgb="FF000000"/>
        <rFont val="Calibri"/>
      </rPr>
      <t>From the vSphere Web Client select the ESXi Host and go to Configure &gt;&gt; System &gt;&gt; Security Profile. Under the Firewall section click Edit and for each enabled service click Firewall and review the allowed IPs. Check this for Incoming and Outgoing connections.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Get-VMHostFirewallException | Where {$_.Enabled -eq $true} | Select Name,Enabled,@{N="AllIPEnabled";E={$_.ExtensionData.AllowedHosts.AllIP}}</t>
    </r>
    <r>
      <rPr>
        <sz val="11"/>
        <color rgb="FF000000"/>
        <rFont val="Calibri"/>
      </rPr>
      <t xml:space="preserve">
</t>
    </r>
    <r>
      <rPr>
        <sz val="11"/>
        <color rgb="FF000000"/>
        <rFont val="Calibri"/>
      </rPr>
      <t>If for an enabled service "Allow connections from any IP address" is selected, this is a finding.</t>
    </r>
  </si>
  <si>
    <t>V-207656</t>
  </si>
  <si>
    <r>
      <rPr>
        <sz val="11"/>
        <rFont val="Calibri"/>
      </rPr>
      <t>The ESXi host must configure the firewall to block network traffic by default.</t>
    </r>
  </si>
  <si>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Get-VMHostFirewallDefaultPolicy | Set-VMHostFirewallDefaultPolicy -AllowIncoming $false -AllowOutgoing $false</t>
    </r>
  </si>
  <si>
    <r>
      <rPr>
        <sz val="11"/>
        <color rgb="FF000000"/>
        <rFont val="Calibri"/>
      </rPr>
      <t>In addition to service specific firewall rules ESXi has a default firewall rule policy to allow or deny incoming and outgoing traffic.  Reduce the risk of attack by making sure this is set to deny incoming and outgoing traffic.</t>
    </r>
  </si>
  <si>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Get-VMHostFirewallDefaultPolicy</t>
    </r>
    <r>
      <rPr>
        <sz val="11"/>
        <color rgb="FF000000"/>
        <rFont val="Calibri"/>
      </rPr>
      <t xml:space="preserve">
</t>
    </r>
    <r>
      <rPr>
        <sz val="11"/>
        <color rgb="FF000000"/>
        <rFont val="Calibri"/>
      </rPr>
      <t>If the Incoming or Outgoing policies are True, this is a finding.</t>
    </r>
  </si>
  <si>
    <t>V-207657</t>
  </si>
  <si>
    <r>
      <rPr>
        <sz val="11"/>
        <rFont val="Calibri"/>
      </rPr>
      <t>The ESXi host must enable BPDU filter on the host to prevent being locked out of physical switch ports with Portfast and BPDU Guard enabled.</t>
    </r>
  </si>
  <si>
    <r>
      <rPr>
        <sz val="11"/>
        <color rgb="FF000000"/>
        <rFont val="Calibri"/>
      </rPr>
      <t>From the vSphere Web Client select the ESXi Host and go to Configure &gt;&gt; System &gt;&gt; Advanced System Settings. Click Edit and select the Net.BlockGuestBPDU value and configure it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Net.BlockGuestBPDU | Set-AdvancedSetting -Value 1</t>
    </r>
  </si>
  <si>
    <r>
      <rPr>
        <sz val="11"/>
        <color rgb="FF000000"/>
        <rFont val="Calibri"/>
      </rPr>
      <t>BPDU Guard and Portfast are commonly enabled on the physical switch to which the ESXi host is directly connected to reduce the STP convergence delay. If a BPDU packet is sent from a virtual machine on the ESXi host to the physical switch so configured, a cascading lockout of all the uplink interfaces from the ESXi host can occur. To prevent this type of lockout, BPDU Filter can be enabled on the ESXi host to drop any BPDU packets being sent to the physical switch. The caveat is that certain SSL VPN which use Windows bridging capability can legitimately generate BPDU packets. The administrator should verify that there are no legitimate BPDU packets generated by virtual machines on the ESXi host prior to enabling BPDU Filter.  If BPDU Filter is enabled in this situation, enabling Reject Forged Transmits on the virtual switch port group adds protection against Spanning Tree loops.</t>
    </r>
  </si>
  <si>
    <r>
      <rPr>
        <sz val="11"/>
        <color rgb="FF000000"/>
        <rFont val="Calibri"/>
      </rPr>
      <t>From the vSphere Web Client select the ESXi Host and go to Configure &gt;&gt; System &gt;&gt; Advanced System Settings. Select the Net.BlockGuestBPDU value and verify it is set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Net.BlockGuestBPDU</t>
    </r>
    <r>
      <rPr>
        <sz val="11"/>
        <color rgb="FF000000"/>
        <rFont val="Calibri"/>
      </rPr>
      <t xml:space="preserve">
</t>
    </r>
    <r>
      <rPr>
        <sz val="11"/>
        <color rgb="FF000000"/>
        <rFont val="Calibri"/>
      </rPr>
      <t>If the Net.BlockGuestBPDU setting is not set to 1, this is a finding.</t>
    </r>
  </si>
  <si>
    <t>V-207658</t>
  </si>
  <si>
    <r>
      <rPr>
        <sz val="11"/>
        <rFont val="Calibri"/>
      </rPr>
      <t>The virtual switch Forged Transmits policy must be set to reject on the ESXi host.</t>
    </r>
  </si>
  <si>
    <r>
      <rPr>
        <sz val="11"/>
        <color rgb="FF000000"/>
        <rFont val="Calibri"/>
      </rPr>
      <t>From the vSphere Web Client go to Configure &gt;&gt; Networking &gt;&gt; Virtual Switches. For each virtual switch and port group click Edit settings and change "Forged Transmits"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 | Set-SecurityPolicy -ForgedTransmits $false</t>
    </r>
    <r>
      <rPr>
        <sz val="11"/>
        <color rgb="FF000000"/>
        <rFont val="Calibri"/>
      </rPr>
      <t xml:space="preserve">
</t>
    </r>
    <r>
      <rPr>
        <sz val="11"/>
        <color rgb="FF000000"/>
        <rFont val="Calibri"/>
      </rPr>
      <t>Get-VirtualPortGroup | Get-SecurityPolicy | Set-SecurityPolicy -ForgedTransmitsInherited $true</t>
    </r>
  </si>
  <si>
    <r>
      <rPr>
        <sz val="11"/>
        <color rgb="FF000000"/>
        <rFont val="Calibri"/>
      </rPr>
      <t xml:space="preserve">If the virtual machine operating system changes the MAC address, the operating system can send frames with an impersonated source MAC address at any time. This allows an operating system to stage malicious attacks on the devices in a network by impersonating a network adaptor authorized by the receiving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means the virtual switch does not compare the source and effective MAC addresses.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protect against MAC address impersonation, all virtual switches should have forged transmissions set to Reject. Reject Forged Transmit can be set at the vSwitch and/or the Portgroup level. You can override switch level settings at the Portgroup level.</t>
    </r>
  </si>
  <si>
    <r>
      <rPr>
        <sz val="11"/>
        <color rgb="FF000000"/>
        <rFont val="Calibri"/>
      </rPr>
      <t>From the vSphere Web Client go to Configure &gt;&gt; Networking &gt;&gt; Virtual Switches. View the properties on each virtual switch and port group and verify "Forged Transmits"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t>
    </r>
    <r>
      <rPr>
        <sz val="11"/>
        <color rgb="FF000000"/>
        <rFont val="Calibri"/>
      </rPr>
      <t xml:space="preserve">
</t>
    </r>
    <r>
      <rPr>
        <sz val="11"/>
        <color rgb="FF000000"/>
        <rFont val="Calibri"/>
      </rPr>
      <t>Get-VirtualPortGroup | Get-SecurityPolicy</t>
    </r>
    <r>
      <rPr>
        <sz val="11"/>
        <color rgb="FF000000"/>
        <rFont val="Calibri"/>
      </rPr>
      <t xml:space="preserve">
</t>
    </r>
    <r>
      <rPr>
        <sz val="11"/>
        <color rgb="FF000000"/>
        <rFont val="Calibri"/>
      </rPr>
      <t>If the "Forged Transmits" policy is set to accept, this is a finding.</t>
    </r>
  </si>
  <si>
    <t>V-207659</t>
  </si>
  <si>
    <r>
      <rPr>
        <sz val="11"/>
        <rFont val="Calibri"/>
      </rPr>
      <t>The virtual switch MAC Address Change policy must be set to reject on the ESXi host.</t>
    </r>
  </si>
  <si>
    <r>
      <rPr>
        <sz val="11"/>
        <color rgb="FF000000"/>
        <rFont val="Calibri"/>
      </rPr>
      <t>From the vSphere Web Client go to Configure &gt;&gt; Networking &gt;&gt; Virtual Switches. For each virtual switch and port group click Edit settings and change "MAC Address Changes"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 | Set-SecurityPolicy -MacChanges $false</t>
    </r>
    <r>
      <rPr>
        <sz val="11"/>
        <color rgb="FF000000"/>
        <rFont val="Calibri"/>
      </rPr>
      <t xml:space="preserve">
</t>
    </r>
    <r>
      <rPr>
        <sz val="11"/>
        <color rgb="FF000000"/>
        <rFont val="Calibri"/>
      </rPr>
      <t>Get-VirtualPortGroup | Get-SecurityPolicy | Set-SecurityPolicy -MacChangesInherited $true</t>
    </r>
  </si>
  <si>
    <r>
      <rPr>
        <sz val="11"/>
        <color rgb="FF000000"/>
        <rFont val="Calibri"/>
      </rPr>
      <t>If the virtual machine operating system changes the MAC address, it can send frames with an impersonated source MAC address at any time. This allows it to stage malicious attacks on the devices in a network by impersonating a network adaptor authorized by the receiving network. This will prevent VMs from changing their effective MAC address. It will affect applications that require this functionality. This will also affect how a layer 2 bridge will operate. This will also affect applications that require a specific MAC address for licensing. Reject MAC Changes can be set at the vSwitch and/or the Portgroup level. You can override switch level settings at the Portgroup level.</t>
    </r>
  </si>
  <si>
    <r>
      <rPr>
        <sz val="11"/>
        <color rgb="FF000000"/>
        <rFont val="Calibri"/>
      </rPr>
      <t>From the vSphere Web Client go to Configure &gt;&gt; Networking &gt;&gt; Virtual Switches. View the properties on each virtual switch and port group and verify "MAC Address Changes"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t>
    </r>
    <r>
      <rPr>
        <sz val="11"/>
        <color rgb="FF000000"/>
        <rFont val="Calibri"/>
      </rPr>
      <t xml:space="preserve">
</t>
    </r>
    <r>
      <rPr>
        <sz val="11"/>
        <color rgb="FF000000"/>
        <rFont val="Calibri"/>
      </rPr>
      <t>Get-VirtualPortGroup | Get-SecurityPolicy</t>
    </r>
    <r>
      <rPr>
        <sz val="11"/>
        <color rgb="FF000000"/>
        <rFont val="Calibri"/>
      </rPr>
      <t xml:space="preserve">
</t>
    </r>
    <r>
      <rPr>
        <sz val="11"/>
        <color rgb="FF000000"/>
        <rFont val="Calibri"/>
      </rPr>
      <t>If the "MAC Address Changes" policy is set to accept, this is a finding.</t>
    </r>
  </si>
  <si>
    <t>V-207660</t>
  </si>
  <si>
    <r>
      <rPr>
        <sz val="11"/>
        <rFont val="Calibri"/>
      </rPr>
      <t>The virtual switch Promiscuous Mode policy must be set to reject on the ESXi host.</t>
    </r>
  </si>
  <si>
    <r>
      <rPr>
        <sz val="11"/>
        <color rgb="FF000000"/>
        <rFont val="Calibri"/>
      </rPr>
      <t>From the vSphere Web Client go to Configure &gt;&gt; Networking &gt;&gt; Virtual Switches. For each virtual switch and port group click Edit settings and change "Promiscuous Mode"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 | Set-SecurityPolicy -AllowPromiscuous $false</t>
    </r>
    <r>
      <rPr>
        <sz val="11"/>
        <color rgb="FF000000"/>
        <rFont val="Calibri"/>
      </rPr>
      <t xml:space="preserve">
</t>
    </r>
    <r>
      <rPr>
        <sz val="11"/>
        <color rgb="FF000000"/>
        <rFont val="Calibri"/>
      </rPr>
      <t>Get-VirtualPortGroup | Get-SecurityPolicy | Set-SecurityPolicy -AllowPromiscuousInherited $true</t>
    </r>
  </si>
  <si>
    <r>
      <rPr>
        <sz val="11"/>
        <color rgb="FF000000"/>
        <rFont val="Calibri"/>
      </rPr>
      <t>When promiscuous mode is enabled for a virtual switch all virtual machines connected to the Portgroup have the potential of reading all packets across that network, meaning only the virtual machines connected to that Portgroup. Promiscuous mode is disabled by default on the ESXi Server, and this is the recommended setting. Promiscous mode can be set at the vSwitch and/or the Portgroup level. You can override switch level settings at the Portgroup level.</t>
    </r>
  </si>
  <si>
    <r>
      <rPr>
        <sz val="11"/>
        <color rgb="FF000000"/>
        <rFont val="Calibri"/>
      </rPr>
      <t>From the vSphere Web Client go to Configure &gt;&gt; Networking &gt;&gt; Virtual Switches. View the properties on each virtual switch and port group and verify "Promiscuous Mode"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t>
    </r>
    <r>
      <rPr>
        <sz val="11"/>
        <color rgb="FF000000"/>
        <rFont val="Calibri"/>
      </rPr>
      <t xml:space="preserve">
</t>
    </r>
    <r>
      <rPr>
        <sz val="11"/>
        <color rgb="FF000000"/>
        <rFont val="Calibri"/>
      </rPr>
      <t>Get-VirtualPortGroup | Get-SecurityPolicy</t>
    </r>
    <r>
      <rPr>
        <sz val="11"/>
        <color rgb="FF000000"/>
        <rFont val="Calibri"/>
      </rPr>
      <t xml:space="preserve">
</t>
    </r>
    <r>
      <rPr>
        <sz val="11"/>
        <color rgb="FF000000"/>
        <rFont val="Calibri"/>
      </rPr>
      <t>If the "Promiscuous Mode" policy is set to accept, this is a finding.</t>
    </r>
  </si>
  <si>
    <t>V-207661</t>
  </si>
  <si>
    <r>
      <rPr>
        <sz val="11"/>
        <rFont val="Calibri"/>
      </rPr>
      <t>The ESXi host must prevent unintended use of the dvFilter network APIs.</t>
    </r>
  </si>
  <si>
    <r>
      <rPr>
        <sz val="11"/>
        <color rgb="FF000000"/>
        <rFont val="Calibri"/>
      </rPr>
      <t>From the vSphere Web Client select the ESXi Host and go to Configure &gt;&gt; System &gt;&gt; Advanced System Settings. Click Edit and select the Net.DVFilterBindIpAddress value and remove any incorrect addresses.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Net.DVFilterBindIpAddress | Set-AdvancedSetting -Value ""</t>
    </r>
  </si>
  <si>
    <r>
      <rPr>
        <sz val="11"/>
        <color rgb="FF000000"/>
        <rFont val="Calibri"/>
      </rPr>
      <t>If you are not using products that make use of the dvfilter network API, the host should not be configured to send network information to a VM. If the API is enabled an attacker might attempt to connect a VM to it thereby potentially providing access to the network of other VMs on the host. If you are using a product that makes use of this API then verify that the host has been configured correctly. If you are not using such a product make sure the setting is blank.</t>
    </r>
  </si>
  <si>
    <r>
      <rPr>
        <sz val="11"/>
        <color rgb="FF000000"/>
        <rFont val="Calibri"/>
      </rPr>
      <t>From the vSphere Web Client select the ESXi Host and go to Configure &gt;&gt; System &gt;&gt; Advanced System Settings. Select the Net.DVFilterBindIpAddress value and verify the value is blank or the correct IP address of a security appliance if in use.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Net.DVFilterBindIpAddress</t>
    </r>
    <r>
      <rPr>
        <sz val="11"/>
        <color rgb="FF000000"/>
        <rFont val="Calibri"/>
      </rPr>
      <t xml:space="preserve">
</t>
    </r>
    <r>
      <rPr>
        <sz val="11"/>
        <color rgb="FF000000"/>
        <rFont val="Calibri"/>
      </rPr>
      <t>If the Net.DVFilterBindIpAddress is not blank and security appliances are not in use on the host, this is a finding.</t>
    </r>
  </si>
  <si>
    <t>V-207662</t>
  </si>
  <si>
    <r>
      <rPr>
        <sz val="11"/>
        <rFont val="Calibri"/>
      </rPr>
      <t>For the ESXi host all port groups must be configured to a value other than that of the native VLAN.</t>
    </r>
  </si>
  <si>
    <r>
      <rPr>
        <sz val="11"/>
        <color rgb="FF000000"/>
        <rFont val="Calibri"/>
      </rPr>
      <t>From the vSphere Web Client select the ESXi Host and go to Configure &gt;&gt; Networking &gt;&gt; Virtual switches. Highlight a port group (where VLAN ID set to native VLAN ID) and click Edit settings. Change the VLAN ID to a non-native VLAN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-Name "portgroup name" | Set-VirtualPortGroup -VLanId "New VLAN#"</t>
    </r>
  </si>
  <si>
    <r>
      <rPr>
        <sz val="11"/>
        <color rgb="FF000000"/>
        <rFont val="Calibri"/>
      </rPr>
      <t>ESXi does not use the concept of native VLAN. Frames with VLAN specified in the port group will have a tag, but frames with VLAN not specified in the port group are not tagged and therefore will end up as belonging to native VLAN of the physical switch. For example, frames on VLAN 1 from a Cisco physical switch will be untagged, because this is considered as the native VLAN. However, frames from ESXi specified as VLAN 1 will be tagged with a "1"; therefore, traffic from ESXi that is destined for the native VLAN will not be correctly routed (because it is tagged with a "1" instead of being untagged), and traffic from the physical switch coming from the native VLAN will not be visible (because it is not tagged). If the ESXi virtual switch port group uses the native VLAN ID, traffic from those VMs will not be visible to the native VLAN on the switch, because the switch is expecting untagged traffic.</t>
    </r>
  </si>
  <si>
    <r>
      <rPr>
        <sz val="11"/>
        <color rgb="FF000000"/>
        <rFont val="Calibri"/>
      </rPr>
      <t>From the vSphere Web Client select the ESXi Host and go to Configure &gt;&gt; Networking &gt;&gt; Virtual switches. For each virtual switch, review the port group VLAN tags and verify they are not set to the native VLAN ID of the attached physical switch.</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 Select Name, VLanId</t>
    </r>
    <r>
      <rPr>
        <sz val="11"/>
        <color rgb="FF000000"/>
        <rFont val="Calibri"/>
      </rPr>
      <t xml:space="preserve">
</t>
    </r>
    <r>
      <rPr>
        <sz val="11"/>
        <color rgb="FF000000"/>
        <rFont val="Calibri"/>
      </rPr>
      <t>If any port group is configured with the native VLAN of the ESXi hosts attached physical switch, this is a finding.</t>
    </r>
  </si>
  <si>
    <t>V-207663</t>
  </si>
  <si>
    <r>
      <rPr>
        <sz val="11"/>
        <rFont val="Calibri"/>
      </rPr>
      <t>For the ESXi host all port groups must not be configured to VLAN 4095 unless Virtual Guest Tagging (VGT) is required.</t>
    </r>
  </si>
  <si>
    <r>
      <rPr>
        <sz val="11"/>
        <color rgb="FF000000"/>
        <rFont val="Calibri"/>
      </rPr>
      <t>From the vSphere Web Client select the ESXi Host and go to Configure &gt;&gt; Networking &gt;&gt; Virtual switches. Highlight a port group (where VLAN ID set to 4095) and click Edit settings. Change the VLAN ID to not be 4095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-Name "portgroup name" | Set-VirtualPortGroup -VLanId "New VLAN#"</t>
    </r>
  </si>
  <si>
    <r>
      <rPr>
        <sz val="11"/>
        <color rgb="FF000000"/>
        <rFont val="Calibri"/>
      </rPr>
      <t>When a port group is set to VLAN 4095, this activates VGT mode. In this mode, the vSwitch passes all network frames to the guest VM without modifying the VLAN tags, leaving it up to the guest to deal with them. VLAN 4095 should be used only if the guest has been specifically configured to manage VLAN tags itself. If VGT is enabled inappropriately, it might cause denial-of-service or allow a guest VM to interact with traffic on an unauthorized VLAN.</t>
    </r>
  </si>
  <si>
    <r>
      <rPr>
        <sz val="11"/>
        <color rgb="FF000000"/>
        <rFont val="Calibri"/>
      </rPr>
      <t>From the vSphere Web Client select the ESXi Host and go to Configure &gt;&gt; Networking &gt;&gt; Virtual switches. For each virtual switch, review the port group VLAN tags and verify they are not set to 4095.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 Select Name, VLanID</t>
    </r>
    <r>
      <rPr>
        <sz val="11"/>
        <color rgb="FF000000"/>
        <rFont val="Calibri"/>
      </rPr>
      <t xml:space="preserve">
</t>
    </r>
    <r>
      <rPr>
        <sz val="11"/>
        <color rgb="FF000000"/>
        <rFont val="Calibri"/>
      </rPr>
      <t>If any port group is configured with VLAN 4095 and is not documented as a needed exception, this is a finding.</t>
    </r>
  </si>
  <si>
    <t>V-207664</t>
  </si>
  <si>
    <r>
      <rPr>
        <sz val="11"/>
        <rFont val="Calibri"/>
      </rPr>
      <t>For the ESXi host all port groups must not be configured to VLAN values reserved by upstream physical switches.</t>
    </r>
  </si>
  <si>
    <r>
      <rPr>
        <sz val="11"/>
        <color rgb="FF000000"/>
        <rFont val="Calibri"/>
      </rPr>
      <t>From the vSphere Web Client select the ESXi Host and go to Configure &gt;&gt; Networking &gt;&gt; Virtual switches. Highlight a port group (where VLAN ID set to 4095) and click Edit settings (pencil). Change the VLAN ID to not be a reserved VLAN ID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-Name "portgroup name" | Set-VirtualPortGroup -VLanId "New VLAN#"</t>
    </r>
  </si>
  <si>
    <r>
      <rPr>
        <sz val="11"/>
        <color rgb="FF000000"/>
        <rFont val="Calibri"/>
      </rPr>
      <t>Certain physical switches reserve certain VLAN IDs for internal purposes and often disallow traffic configured to these values. For example, Cisco Catalyst switches typically reserve VLANs 1001–1024 and 4094, while Nexus switches typically reserve 3968–4047 and 4094. Check with the documentation for your specific switch. Using a reserved VLAN might result in a denial of service on the network.</t>
    </r>
  </si>
  <si>
    <r>
      <rPr>
        <sz val="11"/>
        <color rgb="FF000000"/>
        <rFont val="Calibri"/>
      </rPr>
      <t>From the vSphere Web Client select the ESXi Host and go to Configure &gt;&gt; Networking &gt;&gt; Virtual switches. For each virtual switch, review the port group VLAN tags and verify they are not set to a reserved VLAN ID.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 Select Name, VLanId</t>
    </r>
    <r>
      <rPr>
        <sz val="11"/>
        <color rgb="FF000000"/>
        <rFont val="Calibri"/>
      </rPr>
      <t xml:space="preserve">
</t>
    </r>
    <r>
      <rPr>
        <sz val="11"/>
        <color rgb="FF000000"/>
        <rFont val="Calibri"/>
      </rPr>
      <t>If any port group is configured with a reserved VLAN ID, this is a finding.</t>
    </r>
  </si>
  <si>
    <t>V-207665</t>
  </si>
  <si>
    <r>
      <rPr>
        <sz val="11"/>
        <rFont val="Calibri"/>
      </rPr>
      <t>For physical switch ports connected to the ESXi host, the non-negotiate option must be configured for trunk links between external physical switches and virtual switches in VST mode.</t>
    </r>
  </si>
  <si>
    <r>
      <rPr>
        <sz val="11"/>
        <color rgb="FF000000"/>
        <rFont val="Calibri"/>
      </rPr>
      <t>Note that this check refers to an entity outside the physical scope of the ESXi server system. Document the configuration of external switch ports as trunk ports. Log in to the vendor-specific physical switch and disable DTP on the physical switch ports connected to the ESXi Host. Update the documentation on an organization defined frequency or whenever modifications are made to either ESXi hosts or the upstream external switch ports.</t>
    </r>
  </si>
  <si>
    <r>
      <rPr>
        <sz val="11"/>
        <color rgb="FF000000"/>
        <rFont val="Calibri"/>
      </rPr>
      <t>In order to communicate with virtual switches in VST mode, external switch ports must be configured as trunk ports. VST mode does not support Dynamic Trunking Protocol (DTP), so the trunk must be static and unconditional. The auto or desirable physical switch settings do not work with the ESXi Server because the physical switch communicates with the ESXi Server using DTP. The non-negotiate and on options unconditionally enable VLAN trunking on the physical switch and create a VLAN trunk link between the ESXi Server and the physical switch. The difference between non-negotiate and on options is that on mode still sends out DTP frames, whereas the non-negotiate option does not.  The non-negotiate option should be used for all VLAN trunks, to minimize unnecessary network traffic for virtual switches in VST mode.</t>
    </r>
  </si>
  <si>
    <r>
      <rPr>
        <sz val="11"/>
        <color rgb="FF000000"/>
        <rFont val="Calibri"/>
      </rPr>
      <t>Note that this check refers to an entity outside the physical scope of the ESXi server system. The configuration of external switch ports as trunk ports must be documented. Virtual Switch Tagging (VST) mode does not support Dynamic Trunking Protocol (DTP), so the trunk must be static and unconditional. Inspect the documentation and verify that the documentation is correct and updated on an organization defined frequency and/or whenever modifications are made to either ESXi hosts or the upstream external switch ports.</t>
    </r>
    <r>
      <rPr>
        <sz val="11"/>
        <color rgb="FF000000"/>
        <rFont val="Calibri"/>
      </rPr>
      <t xml:space="preserve">
</t>
    </r>
    <r>
      <rPr>
        <sz val="11"/>
        <color rgb="FF000000"/>
        <rFont val="Calibri"/>
      </rPr>
      <t>If DTP is enabled on the physical switch ports connected to the ESXi Host, this is a finding.</t>
    </r>
  </si>
  <si>
    <t>V-207666</t>
  </si>
  <si>
    <r>
      <rPr>
        <sz val="11"/>
        <rFont val="Calibri"/>
      </rPr>
      <t>All ESXi host-connected physical switch ports must be configured with spanning tree disabled.</t>
    </r>
  </si>
  <si>
    <r>
      <rPr>
        <sz val="11"/>
        <color rgb="FF000000"/>
        <rFont val="Calibri"/>
      </rPr>
      <t>Note that this check refers to an entity outside the scope of the ESXi server system. Document the upstream physical switch configuration for spanning tree protocol disablement and/or portfast configuration for all physical ports connected to ESXi hosts. Log in to the physical switch(es) and disable spanning tree protocol and/or configure portfast for all physical ports connected to ESXi hosts. Update the documentation on an organization defined frequency or whenever modifications are made to either ESXi hosts or the upstream physical switches.</t>
    </r>
  </si>
  <si>
    <r>
      <rPr>
        <sz val="11"/>
        <color rgb="FF000000"/>
        <rFont val="Calibri"/>
      </rPr>
      <t>Since VMware virtual switches do not support STP, the ESXi host-connected physical switch ports must have portfast configured if spanning tree is enabled to avoid loops within the physical switch network. If these are not set, potential performance and connectivity issues might arise.</t>
    </r>
  </si>
  <si>
    <r>
      <rPr>
        <sz val="11"/>
        <color rgb="FF000000"/>
        <rFont val="Calibri"/>
      </rPr>
      <t>Note that this check refers to an entity outside the physical scope of the ESXi server system. The configuration of upstream physical switches must be documented to ensure that spanning tree protocol is disabled and/or portfast is configured for all physical ports connected to ESXi hosts. Inspect the documentation and verify that the documentation is updated on an organization defined frequency and/or whenever modifications are made to either ESXi hosts or the upstream physical switches. Alternatively, log in to the physical switch and verify that spanning tree protocol is disabled and/or portfast is configured for all physical ports connected to ESXi hosts.</t>
    </r>
    <r>
      <rPr>
        <sz val="11"/>
        <color rgb="FF000000"/>
        <rFont val="Calibri"/>
      </rPr>
      <t xml:space="preserve">
</t>
    </r>
    <r>
      <rPr>
        <sz val="11"/>
        <color rgb="FF000000"/>
        <rFont val="Calibri"/>
      </rPr>
      <t>If the physical switch's spanning tree protocol is not disabled or portfast is not configured for all physical ports connected to ESXi hosts, this is a finding.</t>
    </r>
  </si>
  <si>
    <t>V-207667</t>
  </si>
  <si>
    <r>
      <rPr>
        <sz val="11"/>
        <rFont val="Calibri"/>
      </rPr>
      <t>All ESXi host-connected virtual switch VLANs must be fully documented and have only the required VLANs.</t>
    </r>
  </si>
  <si>
    <r>
      <rPr>
        <sz val="11"/>
        <color rgb="FF000000"/>
        <rFont val="Calibri"/>
      </rPr>
      <t>Note that this check refers to an entity outside the scope of the ESXi server system.</t>
    </r>
    <r>
      <rPr>
        <sz val="11"/>
        <color rgb="FF000000"/>
        <rFont val="Calibri"/>
      </rPr>
      <t xml:space="preserve">
</t>
    </r>
    <r>
      <rPr>
        <sz val="11"/>
        <color rgb="FF000000"/>
        <rFont val="Calibri"/>
      </rPr>
      <t>Remove any VLANs trunked across physical ports connected to ESXi hosts that are not in use.</t>
    </r>
  </si>
  <si>
    <r>
      <rPr>
        <sz val="11"/>
        <color rgb="FF000000"/>
        <rFont val="Calibri"/>
      </rPr>
      <t>When defining a physical switch port for trunk mode, only specified VLANs must be configured on the VLAN trunk link. The risk with not fully documenting all VLANs on the vSwitch is that it is possible that a physical trunk port might be configured without needed VLANs, or with unneeded VLANs, potentially enabling an administrator to either accidentally or maliciously connect a VM to an unauthorized VLAN.</t>
    </r>
  </si>
  <si>
    <r>
      <rPr>
        <sz val="11"/>
        <color rgb="FF000000"/>
        <rFont val="Calibri"/>
      </rPr>
      <t>Note that this check refers to an entity outside the physical scope of the ESXi server system. The configuration of upstream physical switches must be documented to ensure that unneeded VLANs are configured for all physical ports connected to ESXi hosts. Inspect the documentation and verify that the documentation is updated on an organization defined frequency and/or whenever modifications are made to either ESXi hosts or the upstream physical switches. Alternatively, log in to the physical switch and verify that only needed VLANs are configured for all physical ports connected to ESXi hosts.</t>
    </r>
    <r>
      <rPr>
        <sz val="11"/>
        <color rgb="FF000000"/>
        <rFont val="Calibri"/>
      </rPr>
      <t xml:space="preserve">
</t>
    </r>
    <r>
      <rPr>
        <sz val="11"/>
        <color rgb="FF000000"/>
        <rFont val="Calibri"/>
      </rPr>
      <t>If the physical switch's configuration is trunked VLANs that are not used by ESXi for all physical ports connected to ESXi hosts, this is a finding.</t>
    </r>
  </si>
  <si>
    <t>V-207668</t>
  </si>
  <si>
    <r>
      <rPr>
        <sz val="11"/>
        <rFont val="Calibri"/>
      </rPr>
      <t>The ESXi host must not provide root/administrator level access to CIM-based hardware monitoring tools or other third-party applications.</t>
    </r>
  </si>
  <si>
    <r>
      <rPr>
        <sz val="11"/>
        <color rgb="FF000000"/>
        <rFont val="Calibri"/>
      </rPr>
      <t>Create a role for the CIM account.</t>
    </r>
    <r>
      <rPr>
        <sz val="11"/>
        <color rgb="FF000000"/>
        <rFont val="Calibri"/>
      </rPr>
      <t xml:space="preserve">
</t>
    </r>
    <r>
      <rPr>
        <sz val="11"/>
        <color rgb="FF000000"/>
        <rFont val="Calibri"/>
      </rPr>
      <t>From the Host Client, go to manage, then Security &amp; Users. Select Roles then click Add Role. Provide a name for the new role then select Host &gt;&gt; Cim &gt;&gt; Ciminteraction and click Add.</t>
    </r>
    <r>
      <rPr>
        <sz val="11"/>
        <color rgb="FF000000"/>
        <rFont val="Calibri"/>
      </rPr>
      <t xml:space="preserve">
</t>
    </r>
    <r>
      <rPr>
        <sz val="11"/>
        <color rgb="FF000000"/>
        <rFont val="Calibri"/>
      </rPr>
      <t>Add a CIM user account.</t>
    </r>
    <r>
      <rPr>
        <sz val="11"/>
        <color rgb="FF000000"/>
        <rFont val="Calibri"/>
      </rPr>
      <t xml:space="preserve">
</t>
    </r>
    <r>
      <rPr>
        <sz val="11"/>
        <color rgb="FF000000"/>
        <rFont val="Calibri"/>
      </rPr>
      <t>From the Host Client, go to manage, then Security &amp; Users. Select Users then click Add User. Provide a name, description, and password for the new user then click Add.</t>
    </r>
    <r>
      <rPr>
        <sz val="11"/>
        <color rgb="FF000000"/>
        <rFont val="Calibri"/>
      </rPr>
      <t xml:space="preserve">
</t>
    </r>
    <r>
      <rPr>
        <sz val="11"/>
        <color rgb="FF000000"/>
        <rFont val="Calibri"/>
      </rPr>
      <t>Assign the CIM account permissions to the host with the new role.</t>
    </r>
    <r>
      <rPr>
        <sz val="11"/>
        <color rgb="FF000000"/>
        <rFont val="Calibri"/>
      </rPr>
      <t xml:space="preserve">
</t>
    </r>
    <r>
      <rPr>
        <sz val="11"/>
        <color rgb="FF000000"/>
        <rFont val="Calibri"/>
      </rPr>
      <t>From the Host Client, select the ESXi host, right click and go to "Permissions". Click Add User and select the CIM account from the drop down list and select the new CIM role from the drop down list and click Add User.</t>
    </r>
  </si>
  <si>
    <r>
      <rPr>
        <sz val="11"/>
        <color rgb="FF000000"/>
        <rFont val="Calibri"/>
      </rPr>
      <t>The CIM system provides an interface that enables hardware-level management from remote applications via a set of standard APIs. Create a limited-privilege, read-only service account for CIM. Grant this role to the user on the ESXi server.  Place this user in the Exception Users list.  When/where write access is required, create/enable a limited-privilege, service account and grant only the minimum required privileges.</t>
    </r>
  </si>
  <si>
    <r>
      <rPr>
        <sz val="11"/>
        <color rgb="FF000000"/>
        <rFont val="Calibri"/>
      </rPr>
      <t>The CIM system provides an interface that enables hardware-level management from remote applications via a set of standard APIs. Create a limited-privilege, read-only service account for CIM. Grant this role to the user on the ESXi server. Place this user in the Exception Users list. When/where write access is required, create/enable a limited-privilege, service account and grant only the minimum required privileges.</t>
    </r>
    <r>
      <rPr>
        <sz val="11"/>
        <color rgb="FF000000"/>
        <rFont val="Calibri"/>
      </rPr>
      <t xml:space="preserve">
</t>
    </r>
    <r>
      <rPr>
        <sz val="11"/>
        <color rgb="FF000000"/>
        <rFont val="Calibri"/>
      </rPr>
      <t>From the Host Client, select the ESXi host, right click and go to "Permissions". Verify the CIM account user role is limited to read only and CIM permissions.</t>
    </r>
    <r>
      <rPr>
        <sz val="11"/>
        <color rgb="FF000000"/>
        <rFont val="Calibri"/>
      </rPr>
      <t xml:space="preserve">
</t>
    </r>
    <r>
      <rPr>
        <sz val="11"/>
        <color rgb="FF000000"/>
        <rFont val="Calibri"/>
      </rPr>
      <t>If there is no dedicated CIM account and the root is used for CIM monitoring, this is a finding.</t>
    </r>
    <r>
      <rPr>
        <sz val="11"/>
        <color rgb="FF000000"/>
        <rFont val="Calibri"/>
      </rPr>
      <t xml:space="preserve">
</t>
    </r>
    <r>
      <rPr>
        <sz val="11"/>
        <color rgb="FF000000"/>
        <rFont val="Calibri"/>
      </rPr>
      <t>If write access is not required and the access level is not "read-only", this is a finding.</t>
    </r>
  </si>
  <si>
    <t>V-207669</t>
  </si>
  <si>
    <r>
      <rPr>
        <sz val="11"/>
        <rFont val="Calibri"/>
      </rPr>
      <t>The ESXi host must verify the integrity of the installation media before installing ESXi.</t>
    </r>
  </si>
  <si>
    <r>
      <rPr>
        <sz val="11"/>
        <color rgb="FF000000"/>
        <rFont val="Calibri"/>
      </rPr>
      <t xml:space="preserve">If the hash returned from the md5sum or sha1sum commands do not match the vendor's hash, the downloaded software must be discarded. </t>
    </r>
    <r>
      <rPr>
        <sz val="11"/>
        <color rgb="FF000000"/>
        <rFont val="Calibri"/>
      </rPr>
      <t xml:space="preserve">
</t>
    </r>
    <r>
      <rPr>
        <sz val="11"/>
        <color rgb="FF000000"/>
        <rFont val="Calibri"/>
      </rPr>
      <t>If the physical media is obtained from VMware and the security seal is broken, the software must be returned to VMware for replacement.</t>
    </r>
  </si>
  <si>
    <r>
      <rPr>
        <sz val="11"/>
        <color rgb="FF000000"/>
        <rFont val="Calibri"/>
      </rPr>
      <t>Always check the SHA1 or MD5 hash after downloading an ISO, offline bundle, or patch to ensure integrity and authenticity of the downloaded files.</t>
    </r>
  </si>
  <si>
    <r>
      <rPr>
        <sz val="11"/>
        <color rgb="FF000000"/>
        <rFont val="Calibri"/>
      </rPr>
      <t xml:space="preserve">The downloaded ISO, offline bundle, or patch hash must be verified against the vendor's checksum to ensure the integrity and authenticity of the files. </t>
    </r>
    <r>
      <rPr>
        <sz val="11"/>
        <color rgb="FF000000"/>
        <rFont val="Calibri"/>
      </rPr>
      <t xml:space="preserve">
</t>
    </r>
    <r>
      <rPr>
        <sz val="11"/>
        <color rgb="FF000000"/>
        <rFont val="Calibri"/>
      </rPr>
      <t>See some typical command line example(s) for both the md5 and sha1 hash check(s) directly below.</t>
    </r>
    <r>
      <rPr>
        <sz val="11"/>
        <color rgb="FF000000"/>
        <rFont val="Calibri"/>
      </rPr>
      <t xml:space="preserve">
</t>
    </r>
    <r>
      <rPr>
        <sz val="11"/>
        <color rgb="FF000000"/>
        <rFont val="Calibri"/>
      </rPr>
      <t># md5sum &lt;filename&gt;.iso</t>
    </r>
    <r>
      <rPr>
        <sz val="11"/>
        <color rgb="FF000000"/>
        <rFont val="Calibri"/>
      </rPr>
      <t xml:space="preserve">
</t>
    </r>
    <r>
      <rPr>
        <sz val="11"/>
        <color rgb="FF000000"/>
        <rFont val="Calibri"/>
      </rPr>
      <t># sha1sum &lt;filename&gt;.iso</t>
    </r>
    <r>
      <rPr>
        <sz val="11"/>
        <color rgb="FF000000"/>
        <rFont val="Calibri"/>
      </rPr>
      <t xml:space="preserve">
</t>
    </r>
    <r>
      <rPr>
        <sz val="11"/>
        <color rgb="FF000000"/>
        <rFont val="Calibri"/>
      </rPr>
      <t>If any of the system's downloaded ISO, offline bundle, or system patch hashes cannot be verified against the vendor's checksum, this is a finding.</t>
    </r>
  </si>
  <si>
    <t>V-207670</t>
  </si>
  <si>
    <r>
      <rPr>
        <sz val="11"/>
        <rFont val="Calibri"/>
      </rPr>
      <t>The ESXi host must have all security patches and updates installed.</t>
    </r>
  </si>
  <si>
    <r>
      <rPr>
        <sz val="11"/>
        <color rgb="FF000000"/>
        <rFont val="Calibri"/>
      </rPr>
      <t>If vCenter Update Manager is used on the network, hosts can be remediated from the vSphere Web Client. From the vSphere Web Client go to Hosts and Clusters &gt;&gt; Update Manager tab and select a non-compliant host and click the Remediate button.</t>
    </r>
    <r>
      <rPr>
        <sz val="11"/>
        <color rgb="FF000000"/>
        <rFont val="Calibri"/>
      </rPr>
      <t xml:space="preserve">
</t>
    </r>
    <r>
      <rPr>
        <sz val="11"/>
        <color rgb="FF000000"/>
        <rFont val="Calibri"/>
      </rPr>
      <t>To manually remediate a host the patch file must be copied locally and the following command run from an SSH session connected to the ESXi host, or from the ESXi shell:</t>
    </r>
    <r>
      <rPr>
        <sz val="11"/>
        <color rgb="FF000000"/>
        <rFont val="Calibri"/>
      </rPr>
      <t xml:space="preserve">
</t>
    </r>
    <r>
      <rPr>
        <sz val="11"/>
        <color rgb="FF000000"/>
        <rFont val="Calibri"/>
      </rPr>
      <t>esxcli software vib update -d &lt;path to offline patch bundle.zip&gt;</t>
    </r>
  </si>
  <si>
    <r>
      <rPr>
        <sz val="11"/>
        <color rgb="FF000000"/>
        <rFont val="Calibri"/>
      </rPr>
      <t>Installing software updates is a fundamental mitigation against the exploitation of publicly-known vulnerabilities.</t>
    </r>
  </si>
  <si>
    <r>
      <rPr>
        <sz val="11"/>
        <color rgb="FF000000"/>
        <rFont val="Calibri"/>
      </rPr>
      <t>If vCenter Update Manager is used on the network it can be used to scan all hosts for missing patches.  From the vSphere Client go to Hosts and Clusters &gt; Update Manager tab and select scan to view all hosts compliance status.</t>
    </r>
    <r>
      <rPr>
        <sz val="11"/>
        <color rgb="FF000000"/>
        <rFont val="Calibri"/>
      </rPr>
      <t xml:space="preserve">
</t>
    </r>
    <r>
      <rPr>
        <sz val="11"/>
        <color rgb="FF000000"/>
        <rFont val="Calibri"/>
      </rPr>
      <t>If vCenter Update Manager is not used a hosts compliance status must be manually determined by the build number.  The following VMware KB 1014508 can be used to correlate patches with build numbers.</t>
    </r>
    <r>
      <rPr>
        <sz val="11"/>
        <color rgb="FF000000"/>
        <rFont val="Calibri"/>
      </rPr>
      <t xml:space="preserve">
</t>
    </r>
    <r>
      <rPr>
        <sz val="11"/>
        <color rgb="FF000000"/>
        <rFont val="Calibri"/>
      </rPr>
      <t>If the ESXi host does not have the latest patches, this is a finding.</t>
    </r>
    <r>
      <rPr>
        <sz val="11"/>
        <color rgb="FF000000"/>
        <rFont val="Calibri"/>
      </rPr>
      <t xml:space="preserve">
</t>
    </r>
    <r>
      <rPr>
        <sz val="11"/>
        <color rgb="FF000000"/>
        <rFont val="Calibri"/>
      </rPr>
      <t>If the ESXi host is not on a supported release, this is a finding.</t>
    </r>
    <r>
      <rPr>
        <sz val="11"/>
        <color rgb="FF000000"/>
        <rFont val="Calibri"/>
      </rPr>
      <t xml:space="preserve">
</t>
    </r>
    <r>
      <rPr>
        <sz val="11"/>
        <color rgb="FF000000"/>
        <rFont val="Calibri"/>
      </rPr>
      <t>VMware also publishes Advisories on security patches, and offers a way to subscribe to email alerts for them.</t>
    </r>
    <r>
      <rPr>
        <sz val="11"/>
        <color rgb="FF000000"/>
        <rFont val="Calibri"/>
      </rPr>
      <t xml:space="preserve">
</t>
    </r>
    <r>
      <rPr>
        <sz val="11"/>
        <color rgb="FF000000"/>
        <rFont val="Calibri"/>
      </rPr>
      <t>https://www.vmware.com/support/policies/security_response</t>
    </r>
  </si>
  <si>
    <t>V-207673</t>
  </si>
  <si>
    <r>
      <rPr>
        <sz val="11"/>
        <rFont val="Calibri"/>
      </rPr>
      <t>The ESXi host must enable Secure Boot.</t>
    </r>
  </si>
  <si>
    <r>
      <rPr>
        <sz val="11"/>
        <color rgb="FF000000"/>
        <rFont val="Calibri"/>
      </rPr>
      <t>Temporarily enable SSH, connect to the ESXi host and run the following command:</t>
    </r>
    <r>
      <rPr>
        <sz val="11"/>
        <color rgb="FF000000"/>
        <rFont val="Calibri"/>
      </rPr>
      <t xml:space="preserve">
</t>
    </r>
    <r>
      <rPr>
        <sz val="11"/>
        <color rgb="FF000000"/>
        <rFont val="Calibri"/>
      </rPr>
      <t>/usr/lib/vmware/secureboot/bin/secureBoot.py -c</t>
    </r>
    <r>
      <rPr>
        <sz val="11"/>
        <color rgb="FF000000"/>
        <rFont val="Calibri"/>
      </rPr>
      <t xml:space="preserve">
</t>
    </r>
    <r>
      <rPr>
        <sz val="11"/>
        <color rgb="FF000000"/>
        <rFont val="Calibri"/>
      </rPr>
      <t>If the output indicates that Secure Boot cannot be enabled, correct the discrepancies and try again. If the discrepancies cannot be rectified this finding is downgraded to a CAT III.</t>
    </r>
    <r>
      <rPr>
        <sz val="11"/>
        <color rgb="FF000000"/>
        <rFont val="Calibri"/>
      </rPr>
      <t xml:space="preserve">
</t>
    </r>
    <r>
      <rPr>
        <sz val="11"/>
        <color rgb="FF000000"/>
        <rFont val="Calibri"/>
      </rPr>
      <t>Consult your vendor documentation and boot the host into BIOS setup mode. Enable UEFI boot mode and Secure Boot. Restart the host.</t>
    </r>
    <r>
      <rPr>
        <sz val="11"/>
        <color rgb="FF000000"/>
        <rFont val="Calibri"/>
      </rPr>
      <t xml:space="preserve">
</t>
    </r>
    <r>
      <rPr>
        <sz val="11"/>
        <color rgb="FF000000"/>
        <rFont val="Calibri"/>
      </rPr>
      <t>Temporarily enable SSH, connect to the ESXi host and run the following command to verify that Secure Boot is enabled:</t>
    </r>
    <r>
      <rPr>
        <sz val="11"/>
        <color rgb="FF000000"/>
        <rFont val="Calibri"/>
      </rPr>
      <t xml:space="preserve">
</t>
    </r>
    <r>
      <rPr>
        <sz val="11"/>
        <color rgb="FF000000"/>
        <rFont val="Calibri"/>
      </rPr>
      <t>/usr/lib/vmware/secureboot/bin/secureBoot.py -s</t>
    </r>
  </si>
  <si>
    <r>
      <rPr>
        <sz val="11"/>
        <color rgb="FF000000"/>
        <rFont val="Calibri"/>
      </rPr>
      <t>Secure Boot is a protocol of UEFI firmware that ensures the integrity of the boot process from hardware up through to the OS. Secure Boot for ESXi requires support from the firmware and it requires that all ESXi kernel modules, drivers, and VIBs be signed by VMware or a partner subordinate.</t>
    </r>
  </si>
  <si>
    <r>
      <rPr>
        <sz val="11"/>
        <color rgb="FF000000"/>
        <rFont val="Calibri"/>
      </rPr>
      <t>Temporarily enable SSH, connect to the ESXi host and run the following command:</t>
    </r>
    <r>
      <rPr>
        <sz val="11"/>
        <color rgb="FF000000"/>
        <rFont val="Calibri"/>
      </rPr>
      <t xml:space="preserve">
</t>
    </r>
    <r>
      <rPr>
        <sz val="11"/>
        <color rgb="FF000000"/>
        <rFont val="Calibri"/>
      </rPr>
      <t>/usr/lib/vmware/secureboot/bin/secureBoot.py -s</t>
    </r>
    <r>
      <rPr>
        <sz val="11"/>
        <color rgb="FF000000"/>
        <rFont val="Calibri"/>
      </rPr>
      <t xml:space="preserve">
</t>
    </r>
    <r>
      <rPr>
        <sz val="11"/>
        <color rgb="FF000000"/>
        <rFont val="Calibri"/>
      </rPr>
      <t>If the output is not Enabled, this is a finding.</t>
    </r>
  </si>
  <si>
    <t>V-207674</t>
  </si>
  <si>
    <r>
      <rPr>
        <sz val="11"/>
        <rFont val="Calibri"/>
      </rPr>
      <t>The ESXi host must use DoD-approved certificates.</t>
    </r>
  </si>
  <si>
    <r>
      <rPr>
        <sz val="11"/>
        <color rgb="FF000000"/>
        <rFont val="Calibri"/>
      </rPr>
      <t>Obtain a DoD issued certificate and private key for the host following the below requirements:</t>
    </r>
    <r>
      <rPr>
        <sz val="11"/>
        <color rgb="FF000000"/>
        <rFont val="Calibri"/>
      </rPr>
      <t xml:space="preserve">
</t>
    </r>
    <r>
      <rPr>
        <sz val="11"/>
        <color rgb="FF000000"/>
        <rFont val="Calibri"/>
      </rPr>
      <t>Key size: 2048 bits or more (PEM encoded)</t>
    </r>
    <r>
      <rPr>
        <sz val="11"/>
        <color rgb="FF000000"/>
        <rFont val="Calibri"/>
      </rPr>
      <t xml:space="preserve">
</t>
    </r>
    <r>
      <rPr>
        <sz val="11"/>
        <color rgb="FF000000"/>
        <rFont val="Calibri"/>
      </rPr>
      <t>Key format: PEM. VMware supports PKCS8 and PKCS1 (RSA keys)</t>
    </r>
    <r>
      <rPr>
        <sz val="11"/>
        <color rgb="FF000000"/>
        <rFont val="Calibri"/>
      </rPr>
      <t xml:space="preserve">
</t>
    </r>
    <r>
      <rPr>
        <sz val="11"/>
        <color rgb="FF000000"/>
        <rFont val="Calibri"/>
      </rPr>
      <t>x509 version 3</t>
    </r>
    <r>
      <rPr>
        <sz val="11"/>
        <color rgb="FF000000"/>
        <rFont val="Calibri"/>
      </rPr>
      <t xml:space="preserve">
</t>
    </r>
    <r>
      <rPr>
        <sz val="11"/>
        <color rgb="FF000000"/>
        <rFont val="Calibri"/>
      </rPr>
      <t>SubjectAltName must contain DNS Name=&lt;machine_FQDN&gt;</t>
    </r>
    <r>
      <rPr>
        <sz val="11"/>
        <color rgb="FF000000"/>
        <rFont val="Calibri"/>
      </rPr>
      <t xml:space="preserve">
</t>
    </r>
    <r>
      <rPr>
        <sz val="11"/>
        <color rgb="FF000000"/>
        <rFont val="Calibri"/>
      </rPr>
      <t>CRT (Base-64) format</t>
    </r>
    <r>
      <rPr>
        <sz val="11"/>
        <color rgb="FF000000"/>
        <rFont val="Calibri"/>
      </rPr>
      <t xml:space="preserve">
</t>
    </r>
    <r>
      <rPr>
        <sz val="11"/>
        <color rgb="FF000000"/>
        <rFont val="Calibri"/>
      </rPr>
      <t>Contains the following Key Usages: Digital Signature, Non Repudiation, Key Encipherment</t>
    </r>
    <r>
      <rPr>
        <sz val="11"/>
        <color rgb="FF000000"/>
        <rFont val="Calibri"/>
      </rPr>
      <t xml:space="preserve">
</t>
    </r>
    <r>
      <rPr>
        <sz val="11"/>
        <color rgb="FF000000"/>
        <rFont val="Calibri"/>
      </rPr>
      <t>Start time of one day before the current time</t>
    </r>
    <r>
      <rPr>
        <sz val="11"/>
        <color rgb="FF000000"/>
        <rFont val="Calibri"/>
      </rPr>
      <t xml:space="preserve">
</t>
    </r>
    <r>
      <rPr>
        <sz val="11"/>
        <color rgb="FF000000"/>
        <rFont val="Calibri"/>
      </rPr>
      <t>CN (and SubjectAltName) set to the host name (or IP address) that the ESXi host has in the vCenter Server inventory.</t>
    </r>
    <r>
      <rPr>
        <sz val="11"/>
        <color rgb="FF000000"/>
        <rFont val="Calibri"/>
      </rPr>
      <t xml:space="preserve">
</t>
    </r>
    <r>
      <rPr>
        <sz val="11"/>
        <color rgb="FF000000"/>
        <rFont val="Calibri"/>
      </rPr>
      <t>Put the host into maintenance mode.</t>
    </r>
    <r>
      <rPr>
        <sz val="11"/>
        <color rgb="FF000000"/>
        <rFont val="Calibri"/>
      </rPr>
      <t xml:space="preserve">
</t>
    </r>
    <r>
      <rPr>
        <sz val="11"/>
        <color rgb="FF000000"/>
        <rFont val="Calibri"/>
      </rPr>
      <t>Temporarily enable SSH on the host. SCP the new certificate and key to /tmp. SSH to the host. Back up the existing certificate and key:</t>
    </r>
    <r>
      <rPr>
        <sz val="11"/>
        <color rgb="FF000000"/>
        <rFont val="Calibri"/>
      </rPr>
      <t xml:space="preserve">
</t>
    </r>
    <r>
      <rPr>
        <sz val="11"/>
        <color rgb="FF000000"/>
        <rFont val="Calibri"/>
      </rPr>
      <t>mv /etc/vmware/ssl/rui.crt /etc/vmware/ssl/rui.crt.bak</t>
    </r>
    <r>
      <rPr>
        <sz val="11"/>
        <color rgb="FF000000"/>
        <rFont val="Calibri"/>
      </rPr>
      <t xml:space="preserve">
</t>
    </r>
    <r>
      <rPr>
        <sz val="11"/>
        <color rgb="FF000000"/>
        <rFont val="Calibri"/>
      </rPr>
      <t>mv /etc/vmware/ssl/rui.key /etc/vmware/ssl/rui.key.bak</t>
    </r>
    <r>
      <rPr>
        <sz val="11"/>
        <color rgb="FF000000"/>
        <rFont val="Calibri"/>
      </rPr>
      <t xml:space="preserve">
</t>
    </r>
    <r>
      <rPr>
        <sz val="11"/>
        <color rgb="FF000000"/>
        <rFont val="Calibri"/>
      </rPr>
      <t>Copy your new certificate and key to /etc/vmware/ssl/ and rename them to rui.crt and rui.key respectively. Restart management agents to implement the new certificate:</t>
    </r>
    <r>
      <rPr>
        <sz val="11"/>
        <color rgb="FF000000"/>
        <rFont val="Calibri"/>
      </rPr>
      <t xml:space="preserve">
</t>
    </r>
    <r>
      <rPr>
        <sz val="11"/>
        <color rgb="FF000000"/>
        <rFont val="Calibri"/>
      </rPr>
      <t>services.sh restart</t>
    </r>
    <r>
      <rPr>
        <sz val="11"/>
        <color rgb="FF000000"/>
        <rFont val="Calibri"/>
      </rPr>
      <t xml:space="preserve">
</t>
    </r>
    <r>
      <rPr>
        <sz val="11"/>
        <color rgb="FF000000"/>
        <rFont val="Calibri"/>
      </rPr>
      <t>From the vSphere Web Client go to vCenter Inventory Lists &gt;&gt; vCenter Servers &gt;&gt; Select your vCenter Server &gt;&gt; Manage &gt;&gt; Settings &gt;&gt; Advanced Settings. Find or create the vpxd.certmgmt.mode key and set its value to custom.</t>
    </r>
  </si>
  <si>
    <r>
      <rPr>
        <sz val="11"/>
        <color rgb="FF000000"/>
        <rFont val="Calibri"/>
      </rPr>
      <t>The default self-signed, VMCA issued host certificate must be replaced with a DoD-approved certificate. The use of a DoD certificate on the host assures clients that the service they are connecting to is legitimate and properly secured.</t>
    </r>
  </si>
  <si>
    <r>
      <rPr>
        <sz val="11"/>
        <color rgb="FF000000"/>
        <rFont val="Calibri"/>
      </rPr>
      <t>Temporarily enable SSH, connect to the ESXi host and run the following command:</t>
    </r>
    <r>
      <rPr>
        <sz val="11"/>
        <color rgb="FF000000"/>
        <rFont val="Calibri"/>
      </rPr>
      <t xml:space="preserve">
</t>
    </r>
    <r>
      <rPr>
        <sz val="11"/>
        <color rgb="FF000000"/>
        <rFont val="Calibri"/>
      </rPr>
      <t># openssl x509 -in /etc/vmware/ssl/rui.crt -text | grep Issuer</t>
    </r>
    <r>
      <rPr>
        <sz val="11"/>
        <color rgb="FF000000"/>
        <rFont val="Calibri"/>
      </rPr>
      <t xml:space="preserve">
</t>
    </r>
    <r>
      <rPr>
        <sz val="11"/>
        <color rgb="FF000000"/>
        <rFont val="Calibri"/>
      </rPr>
      <t>If the issuer is not a DoD approved certificate authority, or other AO approved certificate authority, this is a finding.</t>
    </r>
  </si>
  <si>
    <t>V-207675</t>
  </si>
  <si>
    <r>
      <rPr>
        <sz val="11"/>
        <rFont val="Calibri"/>
      </rPr>
      <t>The ESXi host must require individuals to be authenticated with an individual authenticator prior to using a group authenticator by using Active Directory for local user authentication.</t>
    </r>
  </si>
  <si>
    <r>
      <rPr>
        <sz val="11"/>
        <color rgb="FF000000"/>
        <rFont val="Calibri"/>
      </rPr>
      <t>From the vSphere Client select the ESXi host and go to Configuration &gt;&gt; Authentication Services.  Click "Properties" and change the "Directory Service Type" to "Active Directory", enter the domain to join, check "Use vSphere Authentication Proxy" and enter the proxy server address then click "Join Domain".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 | Set-VMHostAuthentication -JoinDomain -Domain "domain name" -User "username" -Password "password"</t>
    </r>
  </si>
  <si>
    <r>
      <rPr>
        <sz val="11"/>
        <color rgb="FF000000"/>
        <rFont val="Calibri"/>
      </rPr>
      <t>For systems that do not use Active Directory and have no local user accounts, other than "root" and/or "vpxuser", this is not applicable.</t>
    </r>
    <r>
      <rPr>
        <sz val="11"/>
        <color rgb="FF000000"/>
        <rFont val="Calibri"/>
      </rPr>
      <t xml:space="preserve">
</t>
    </r>
    <r>
      <rPr>
        <sz val="11"/>
        <color rgb="FF000000"/>
        <rFont val="Calibri"/>
      </rPr>
      <t>From the vSphere Client select the ESXi host and go to Configuration &gt;&gt; Authentication Services. Verify the "Directory Services Type" is set to "Active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t>
    </r>
    <r>
      <rPr>
        <sz val="11"/>
        <color rgb="FF000000"/>
        <rFont val="Calibri"/>
      </rPr>
      <t xml:space="preserve">
</t>
    </r>
    <r>
      <rPr>
        <sz val="11"/>
        <color rgb="FF000000"/>
        <rFont val="Calibri"/>
      </rPr>
      <t>For systems that do not use Active Directory and do have local user accounts, other than "root" and/or "vpxuser"", this is a finding.</t>
    </r>
    <r>
      <rPr>
        <sz val="11"/>
        <color rgb="FF000000"/>
        <rFont val="Calibri"/>
      </rPr>
      <t xml:space="preserve">
</t>
    </r>
    <r>
      <rPr>
        <sz val="11"/>
        <color rgb="FF000000"/>
        <rFont val="Calibri"/>
      </rPr>
      <t>If the "Directory Services Type" is not set to "Active Directory", this is a finding.</t>
    </r>
    <r>
      <rPr>
        <sz val="11"/>
        <color rgb="FF000000"/>
        <rFont val="Calibri"/>
      </rPr>
      <t xml:space="preserve">
</t>
    </r>
    <r>
      <rPr>
        <sz val="11"/>
        <color rgb="FF000000"/>
        <rFont val="Calibri"/>
      </rPr>
      <t>If you are not using Host Profiles to join active directory, this is not a finding.</t>
    </r>
  </si>
  <si>
    <t>V-216825</t>
  </si>
  <si>
    <r>
      <rPr>
        <sz val="11"/>
        <rFont val="Calibri"/>
      </rPr>
      <t>The vCenter Server for Windows must prohibit password reuse for a minimum of five generations.</t>
    </r>
  </si>
  <si>
    <t>VMW vSphere 6.5 vCenter Server for Windows</t>
  </si>
  <si>
    <r>
      <rPr>
        <sz val="11"/>
        <color rgb="FF000000"/>
        <rFont val="Calibri"/>
      </rPr>
      <t>From the vSphere Web Client go to Administration &gt;&gt; Single Sign-On &gt;&gt; Configuration &gt;&gt; Policies &gt;&gt; Password Policy.  Click Edit and enter "5" into the "Restrict reuse" setting and click "OK".</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</si>
  <si>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</si>
  <si>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From the vSphere Web Client go to Administration &gt;&gt; Single Sign-On &gt;&gt; Configuration &gt;&gt; Policies &gt;&gt; Password Policy.  View the value of the "Restrict reuse" setting.</t>
    </r>
    <r>
      <rPr>
        <sz val="11"/>
        <color rgb="FF000000"/>
        <rFont val="Calibri"/>
      </rPr>
      <t xml:space="preserve">
</t>
    </r>
    <r>
      <rPr>
        <sz val="11"/>
        <color rgb="FF000000"/>
        <rFont val="Calibri"/>
      </rPr>
      <t>If the "Restrict reuse" policy is not set to "5" or more, this is a finding.</t>
    </r>
  </si>
  <si>
    <t>V-216826</t>
  </si>
  <si>
    <r>
      <rPr>
        <sz val="11"/>
        <rFont val="Calibri"/>
      </rPr>
      <t>The vCenter Server for Windows must not automatically refresh client sessions.</t>
    </r>
  </si>
  <si>
    <r>
      <rPr>
        <sz val="11"/>
        <color rgb="FF000000"/>
        <rFont val="Calibri"/>
      </rPr>
      <t xml:space="preserve">Change the refresh rate value by editing the "webclient.properties" file. </t>
    </r>
    <r>
      <rPr>
        <sz val="11"/>
        <color rgb="FF000000"/>
        <rFont val="Calibri"/>
      </rPr>
      <t xml:space="preserve">
</t>
    </r>
    <r>
      <rPr>
        <sz val="11"/>
        <color rgb="FF000000"/>
        <rFont val="Calibri"/>
      </rPr>
      <t xml:space="preserve">On the system where vCenter is installed locate the "webclient.properties" file. </t>
    </r>
    <r>
      <rPr>
        <sz val="11"/>
        <color rgb="FF000000"/>
        <rFont val="Calibri"/>
      </rPr>
      <t xml:space="preserve">
</t>
    </r>
    <r>
      <rPr>
        <sz val="11"/>
        <color rgb="FF000000"/>
        <rFont val="Calibri"/>
      </rPr>
      <t xml:space="preserve">Appliance: </t>
    </r>
    <r>
      <rPr>
        <sz val="11"/>
        <color rgb="FF000000"/>
        <rFont val="Calibri"/>
      </rPr>
      <t xml:space="preserve">
</t>
    </r>
    <r>
      <rPr>
        <sz val="11"/>
        <color rgb="FF000000"/>
        <rFont val="Calibri"/>
      </rPr>
      <t xml:space="preserve">/etc/vmware/vsphere-client/ </t>
    </r>
    <r>
      <rPr>
        <sz val="11"/>
        <color rgb="FF000000"/>
        <rFont val="Calibri"/>
      </rPr>
      <t xml:space="preserve">
</t>
    </r>
    <r>
      <rPr>
        <sz val="11"/>
        <color rgb="FF000000"/>
        <rFont val="Calibri"/>
      </rPr>
      <t xml:space="preserve">Windows: </t>
    </r>
    <r>
      <rPr>
        <sz val="11"/>
        <color rgb="FF000000"/>
        <rFont val="Calibri"/>
      </rPr>
      <t xml:space="preserve">
</t>
    </r>
    <r>
      <rPr>
        <sz val="11"/>
        <color rgb="FF000000"/>
        <rFont val="Calibri"/>
      </rPr>
      <t xml:space="preserve">C:\ProgramData\VMware\vCenterServer\cfg\vsphere-client </t>
    </r>
    <r>
      <rPr>
        <sz val="11"/>
        <color rgb="FF000000"/>
        <rFont val="Calibri"/>
      </rPr>
      <t xml:space="preserve">
</t>
    </r>
    <r>
      <rPr>
        <sz val="11"/>
        <color rgb="FF000000"/>
        <rFont val="Calibri"/>
      </rPr>
      <t xml:space="preserve">Edit the file to include the line "refresh.rate = -1" where "-1" indicates sessions are not automatically refreshed. Uncomment the line if necessary. </t>
    </r>
    <r>
      <rPr>
        <sz val="11"/>
        <color rgb="FF000000"/>
        <rFont val="Calibri"/>
      </rPr>
      <t xml:space="preserve">
</t>
    </r>
    <r>
      <rPr>
        <sz val="11"/>
        <color rgb="FF000000"/>
        <rFont val="Calibri"/>
      </rPr>
      <t>After editing the file the vSphere Web Client service must be restarted.</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</si>
  <si>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Automatic client session refreshes keep unused sessions online, blocking session timeouts.</t>
    </r>
  </si>
  <si>
    <r>
      <rPr>
        <sz val="11"/>
        <color rgb="FF000000"/>
        <rFont val="Calibri"/>
      </rPr>
      <t xml:space="preserve">On the system where vCenter is installed locate the "webclient.properties" file. </t>
    </r>
    <r>
      <rPr>
        <sz val="11"/>
        <color rgb="FF000000"/>
        <rFont val="Calibri"/>
      </rPr>
      <t xml:space="preserve">
</t>
    </r>
    <r>
      <rPr>
        <sz val="11"/>
        <color rgb="FF000000"/>
        <rFont val="Calibri"/>
      </rPr>
      <t xml:space="preserve">Appliance: </t>
    </r>
    <r>
      <rPr>
        <sz val="11"/>
        <color rgb="FF000000"/>
        <rFont val="Calibri"/>
      </rPr>
      <t xml:space="preserve">
</t>
    </r>
    <r>
      <rPr>
        <sz val="11"/>
        <color rgb="FF000000"/>
        <rFont val="Calibri"/>
      </rPr>
      <t xml:space="preserve">/etc/vmware/vsphere-client/ </t>
    </r>
    <r>
      <rPr>
        <sz val="11"/>
        <color rgb="FF000000"/>
        <rFont val="Calibri"/>
      </rPr>
      <t xml:space="preserve">
</t>
    </r>
    <r>
      <rPr>
        <sz val="11"/>
        <color rgb="FF000000"/>
        <rFont val="Calibri"/>
      </rPr>
      <t xml:space="preserve">Windows: </t>
    </r>
    <r>
      <rPr>
        <sz val="11"/>
        <color rgb="FF000000"/>
        <rFont val="Calibri"/>
      </rPr>
      <t xml:space="preserve">
</t>
    </r>
    <r>
      <rPr>
        <sz val="11"/>
        <color rgb="FF000000"/>
        <rFont val="Calibri"/>
      </rPr>
      <t xml:space="preserve">C:\ProgramData\VMware\vCenterServer\cfg\vsphere-client </t>
    </r>
    <r>
      <rPr>
        <sz val="11"/>
        <color rgb="FF000000"/>
        <rFont val="Calibri"/>
      </rPr>
      <t xml:space="preserve">
</t>
    </r>
    <r>
      <rPr>
        <sz val="11"/>
        <color rgb="FF000000"/>
        <rFont val="Calibri"/>
      </rPr>
      <t xml:space="preserve">Find the "refresh.rate =" line in the "webclient.properties" file. </t>
    </r>
    <r>
      <rPr>
        <sz val="11"/>
        <color rgb="FF000000"/>
        <rFont val="Calibri"/>
      </rPr>
      <t xml:space="preserve">
</t>
    </r>
    <r>
      <rPr>
        <sz val="11"/>
        <color rgb="FF000000"/>
        <rFont val="Calibri"/>
      </rPr>
      <t>If the refresh rate is not set to "-1" in the "webclient.properties" file, this is a finding.</t>
    </r>
  </si>
  <si>
    <t>V-216827</t>
  </si>
  <si>
    <r>
      <rPr>
        <sz val="11"/>
        <rFont val="Calibri"/>
      </rPr>
      <t>The vCenter Server for Windows must enforce a 60-day maximum password lifetime restriction.</t>
    </r>
  </si>
  <si>
    <r>
      <rPr>
        <sz val="11"/>
        <color rgb="FF000000"/>
        <rFont val="Calibri"/>
      </rPr>
      <t>From the vSphere Web Client go to Administration &gt;&gt; Single Sign-On &gt;&gt; Configuration &gt;&gt; Policies &gt;&gt; Password Policy.  Click Edit and enter "60" into the "Maximum lifetime" setting and click "OK".</t>
    </r>
  </si>
  <si>
    <r>
      <rPr>
        <sz val="11"/>
        <color rgb="FF000000"/>
        <rFont val="Calibri"/>
      </rPr>
      <t xml:space="preserve">Any password, no matter how complex, can eventually be cracked. Therefore, passwords need to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application does not limit the lifetime of passwords and force users to change their passwords, there is the risk that the system and/or application passwords could be compromised. </t>
    </r>
    <r>
      <rPr>
        <sz val="11"/>
        <color rgb="FF000000"/>
        <rFont val="Calibri"/>
      </rPr>
      <t xml:space="preserve">
</t>
    </r>
    <r>
      <rPr>
        <sz val="11"/>
        <color rgb="FF000000"/>
        <rFont val="Calibri"/>
      </rPr>
      <t>This requirement does not include emergency administration accounts which are meant for access to the application in case of failure. These accounts are not required to have maximum password lifetime restrictions.</t>
    </r>
  </si>
  <si>
    <r>
      <rPr>
        <sz val="11"/>
        <color rgb="FF000000"/>
        <rFont val="Calibri"/>
      </rPr>
      <t>From the vSphere Web Client go to Administration &gt;&gt; Single Sign-On &gt;&gt; Configuration &gt;&gt; Policies &gt;&gt; Password Policy.  View the value of the "Maximum lifetime" setting.</t>
    </r>
    <r>
      <rPr>
        <sz val="11"/>
        <color rgb="FF000000"/>
        <rFont val="Calibri"/>
      </rPr>
      <t xml:space="preserve">
</t>
    </r>
    <r>
      <rPr>
        <sz val="11"/>
        <color rgb="FF000000"/>
        <rFont val="Calibri"/>
      </rPr>
      <t>If the "Maximum lifetime" policy is not set to "60", this is a finding.</t>
    </r>
  </si>
  <si>
    <t>V-216828</t>
  </si>
  <si>
    <r>
      <rPr>
        <sz val="11"/>
        <rFont val="Calibri"/>
      </rPr>
      <t>The vCenter Server for Windows must terminate management sessions after 10 minutes of inactivity.</t>
    </r>
  </si>
  <si>
    <r>
      <rPr>
        <sz val="11"/>
        <color rgb="FF000000"/>
        <rFont val="Calibri"/>
      </rPr>
      <t>Change the timeout value by editing the "webclient.properties" file.</t>
    </r>
    <r>
      <rPr>
        <sz val="11"/>
        <color rgb="FF000000"/>
        <rFont val="Calibri"/>
      </rPr>
      <t xml:space="preserve">
</t>
    </r>
    <r>
      <rPr>
        <sz val="11"/>
        <color rgb="FF000000"/>
        <rFont val="Calibri"/>
      </rPr>
      <t>On the system where vCenter is installed locate the "webclient.properties" file.</t>
    </r>
    <r>
      <rPr>
        <sz val="11"/>
        <color rgb="FF000000"/>
        <rFont val="Calibri"/>
      </rPr>
      <t xml:space="preserve">
</t>
    </r>
    <r>
      <rPr>
        <sz val="11"/>
        <color rgb="FF000000"/>
        <rFont val="Calibri"/>
      </rPr>
      <t xml:space="preserve">Appliance: </t>
    </r>
    <r>
      <rPr>
        <sz val="11"/>
        <color rgb="FF000000"/>
        <rFont val="Calibri"/>
      </rPr>
      <t xml:space="preserve">
</t>
    </r>
    <r>
      <rPr>
        <sz val="11"/>
        <color rgb="FF000000"/>
        <rFont val="Calibri"/>
      </rPr>
      <t>/etc/vmware/vsphere-client/</t>
    </r>
    <r>
      <rPr>
        <sz val="11"/>
        <color rgb="FF000000"/>
        <rFont val="Calibri"/>
      </rPr>
      <t xml:space="preserve">
</t>
    </r>
    <r>
      <rPr>
        <sz val="11"/>
        <color rgb="FF000000"/>
        <rFont val="Calibri"/>
      </rPr>
      <t xml:space="preserve">Windows: </t>
    </r>
    <r>
      <rPr>
        <sz val="11"/>
        <color rgb="FF000000"/>
        <rFont val="Calibri"/>
      </rPr>
      <t xml:space="preserve">
</t>
    </r>
    <r>
      <rPr>
        <sz val="11"/>
        <color rgb="FF000000"/>
        <rFont val="Calibri"/>
      </rPr>
      <t>C:\ProgramData\VMware\vCenterServer\cfg\vsphere-client</t>
    </r>
    <r>
      <rPr>
        <sz val="11"/>
        <color rgb="FF000000"/>
        <rFont val="Calibri"/>
      </rPr>
      <t xml:space="preserve">
</t>
    </r>
    <r>
      <rPr>
        <sz val="11"/>
        <color rgb="FF000000"/>
        <rFont val="Calibri"/>
      </rPr>
      <t>Edit the file to include the line "session.timeout = 10" where "10" is the timeout value in minutes.  Uncomment the line if necessary.</t>
    </r>
    <r>
      <rPr>
        <sz val="11"/>
        <color rgb="FF000000"/>
        <rFont val="Calibri"/>
      </rPr>
      <t xml:space="preserve">
</t>
    </r>
    <r>
      <rPr>
        <sz val="11"/>
        <color rgb="FF000000"/>
        <rFont val="Calibri"/>
      </rPr>
      <t>After editing the file the vSphere Web Client service must be restarted.</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</si>
  <si>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 level network connection. This does not mean that the application terminates all sessions or network access; it only ends the inactive session and releases the resources associated with that session.</t>
    </r>
  </si>
  <si>
    <r>
      <rPr>
        <sz val="11"/>
        <color rgb="FF000000"/>
        <rFont val="Calibri"/>
      </rPr>
      <t>By default, vSphere Web Client sessions terminate after "120" minutes of idle time, requiring the user to log in again to resume using the client. You can view the timeout value by viewing the "webclient.properties" file.</t>
    </r>
    <r>
      <rPr>
        <sz val="11"/>
        <color rgb="FF000000"/>
        <rFont val="Calibri"/>
      </rPr>
      <t xml:space="preserve">
</t>
    </r>
    <r>
      <rPr>
        <sz val="11"/>
        <color rgb="FF000000"/>
        <rFont val="Calibri"/>
      </rPr>
      <t>On the system where vCenter is installed locate the "webclient.properties" file.</t>
    </r>
    <r>
      <rPr>
        <sz val="11"/>
        <color rgb="FF000000"/>
        <rFont val="Calibri"/>
      </rPr>
      <t xml:space="preserve">
</t>
    </r>
    <r>
      <rPr>
        <sz val="11"/>
        <color rgb="FF000000"/>
        <rFont val="Calibri"/>
      </rPr>
      <t xml:space="preserve">Appliance: </t>
    </r>
    <r>
      <rPr>
        <sz val="11"/>
        <color rgb="FF000000"/>
        <rFont val="Calibri"/>
      </rPr>
      <t xml:space="preserve">
</t>
    </r>
    <r>
      <rPr>
        <sz val="11"/>
        <color rgb="FF000000"/>
        <rFont val="Calibri"/>
      </rPr>
      <t>/etc/vmware/vsphere-client/</t>
    </r>
    <r>
      <rPr>
        <sz val="11"/>
        <color rgb="FF000000"/>
        <rFont val="Calibri"/>
      </rPr>
      <t xml:space="preserve">
</t>
    </r>
    <r>
      <rPr>
        <sz val="11"/>
        <color rgb="FF000000"/>
        <rFont val="Calibri"/>
      </rPr>
      <t xml:space="preserve">Windows: </t>
    </r>
    <r>
      <rPr>
        <sz val="11"/>
        <color rgb="FF000000"/>
        <rFont val="Calibri"/>
      </rPr>
      <t xml:space="preserve">
</t>
    </r>
    <r>
      <rPr>
        <sz val="11"/>
        <color rgb="FF000000"/>
        <rFont val="Calibri"/>
      </rPr>
      <t>C:\ProgramData\VMware\vCenterServer\cfg\vsphere-client</t>
    </r>
    <r>
      <rPr>
        <sz val="11"/>
        <color rgb="FF000000"/>
        <rFont val="Calibri"/>
      </rPr>
      <t xml:space="preserve">
</t>
    </r>
    <r>
      <rPr>
        <sz val="11"/>
        <color rgb="FF000000"/>
        <rFont val="Calibri"/>
      </rPr>
      <t>Find the "session.timeout =" line in the "webclient.properties" file.</t>
    </r>
    <r>
      <rPr>
        <sz val="11"/>
        <color rgb="FF000000"/>
        <rFont val="Calibri"/>
      </rPr>
      <t xml:space="preserve">
</t>
    </r>
    <r>
      <rPr>
        <sz val="11"/>
        <color rgb="FF000000"/>
        <rFont val="Calibri"/>
      </rPr>
      <t>If the session timeout is not set to "10" in the "webclient.properties" file, this is a finding.</t>
    </r>
  </si>
  <si>
    <t>V-216829</t>
  </si>
  <si>
    <r>
      <rPr>
        <sz val="11"/>
        <rFont val="Calibri"/>
      </rPr>
      <t>The vCenter Server for Windows users must have the correct roles assigned.</t>
    </r>
  </si>
  <si>
    <r>
      <rPr>
        <sz val="11"/>
        <color rgb="FF000000"/>
        <rFont val="Calibri"/>
      </rPr>
      <t>To update a user or groups permissions to an existing role with reduced permissions do the following:</t>
    </r>
    <r>
      <rPr>
        <sz val="11"/>
        <color rgb="FF000000"/>
        <rFont val="Calibri"/>
      </rPr>
      <t xml:space="preserve">
</t>
    </r>
    <r>
      <rPr>
        <sz val="11"/>
        <color rgb="FF000000"/>
        <rFont val="Calibri"/>
      </rPr>
      <t>From the vSphere Web Client go to Administration &gt;&gt; Access Control &gt;&gt; Global Permissions.  Select the user or group and click "Edit" and change the assigned role and click "OK".  If permissions are assigned on a specific object then the role must be updated where it is assigned for example at the cluster level.</t>
    </r>
    <r>
      <rPr>
        <sz val="11"/>
        <color rgb="FF000000"/>
        <rFont val="Calibri"/>
      </rPr>
      <t xml:space="preserve">
</t>
    </r>
    <r>
      <rPr>
        <sz val="11"/>
        <color rgb="FF000000"/>
        <rFont val="Calibri"/>
      </rPr>
      <t>To create a new role with reduced permissions do the following:</t>
    </r>
    <r>
      <rPr>
        <sz val="11"/>
        <color rgb="FF000000"/>
        <rFont val="Calibri"/>
      </rPr>
      <t xml:space="preserve">
</t>
    </r>
    <r>
      <rPr>
        <sz val="11"/>
        <color rgb="FF000000"/>
        <rFont val="Calibri"/>
      </rPr>
      <t>From the vSphere Web Client go to Administration &gt;&gt; Access Control &gt;&gt; Roles. Click the green plus sign and enter a name for the role and select only the specific permissions required.  Users can then be assigned to the newly created role.</t>
    </r>
  </si>
  <si>
    <r>
      <rPr>
        <sz val="11"/>
        <color rgb="FF000000"/>
        <rFont val="Calibri"/>
      </rPr>
      <t>Users and service accounts must only be assigned privileges they require. Least Privilege requires that these privileges must only be assigned if needed, to reduce risk of confidentiality, availability or integrity loss.</t>
    </r>
  </si>
  <si>
    <r>
      <rPr>
        <sz val="11"/>
        <color rgb="FF000000"/>
        <rFont val="Calibri"/>
      </rPr>
      <t>From the vSphere Web Client go to Administration &gt;&gt; Access Control &gt;&gt; Roles.  View each role and verify the users and/or groups assigned to it.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Get-VIPermission | Sort Role | Select Role,Principal,Entity,Propagate,IsGroup | FT -Auto</t>
    </r>
    <r>
      <rPr>
        <sz val="11"/>
        <color rgb="FF000000"/>
        <rFont val="Calibri"/>
      </rPr>
      <t xml:space="preserve">
</t>
    </r>
    <r>
      <rPr>
        <sz val="11"/>
        <color rgb="FF000000"/>
        <rFont val="Calibri"/>
      </rPr>
      <t>Application service account and user required privileges should be documented.</t>
    </r>
    <r>
      <rPr>
        <sz val="11"/>
        <color rgb="FF000000"/>
        <rFont val="Calibri"/>
      </rPr>
      <t xml:space="preserve">
</t>
    </r>
    <r>
      <rPr>
        <sz val="11"/>
        <color rgb="FF000000"/>
        <rFont val="Calibri"/>
      </rPr>
      <t>If any user or service account has more privileges than required, this is a finding.</t>
    </r>
  </si>
  <si>
    <t>V-216830</t>
  </si>
  <si>
    <r>
      <rPr>
        <sz val="11"/>
        <rFont val="Calibri"/>
      </rPr>
      <t>The vCenter Server for Windows must manage excess capacity, bandwidth, or other redundancy to limit the effects of information-flooding types of Denial of Service (DoS) attacks by enabling Network I/O Control (NIOC).</t>
    </r>
  </si>
  <si>
    <r>
      <rPr>
        <sz val="11"/>
        <color rgb="FF000000"/>
        <rFont val="Calibri"/>
      </rPr>
      <t>From the vSphere Web Client go to Networking &gt;&gt; Select a distributed switch &gt;&gt; Configure &gt;&gt; Settings &gt;&gt; Properties. In the Properties pane click "Edit" and change Network I/O Control to enabled.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"DVSwitch Name" | Get-View).EnableNetworkResourceManagement($true)</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</si>
  <si>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</si>
  <si>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From the vSphere Web Client go to Networking &gt;&gt; Select a distributed switch &gt;&gt; Configure &gt;&gt; Settings &gt;&gt; Properties. View the Properties pane and verify Network I/O Control is enabled.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 select Name,@{N="NIOC Enabled";E={$_.ExtensionData.config.NetworkResourceManagementEnabled}}</t>
    </r>
    <r>
      <rPr>
        <sz val="11"/>
        <color rgb="FF000000"/>
        <rFont val="Calibri"/>
      </rPr>
      <t xml:space="preserve">
</t>
    </r>
    <r>
      <rPr>
        <sz val="11"/>
        <color rgb="FF000000"/>
        <rFont val="Calibri"/>
      </rPr>
      <t>If Network I/O Control is disabled, this is a finding.</t>
    </r>
  </si>
  <si>
    <t>V-216831</t>
  </si>
  <si>
    <r>
      <rPr>
        <sz val="11"/>
        <rFont val="Calibri"/>
      </rPr>
      <t>The vCenter Server for Windows must provide an immediate real-time alert to the SA and ISSO, at a minimum, of all audit failure events.</t>
    </r>
  </si>
  <si>
    <r>
      <rPr>
        <sz val="11"/>
        <color rgb="FF000000"/>
        <rFont val="Calibri"/>
      </rPr>
      <t>From the vSphere Web Client go to Host and Clusters &gt;&gt; Select a vCenter Server &gt;&gt; Monitor &gt;&gt; Issues &gt;&gt; Alarm Definitions &gt;&gt; Click the green plus icon. Provide an alarm name and description, Select "Hosts" from the "Monitor" dropdown menu. Select "specific event" next to "Monitor for". Enable the alarm. Click "Next". Add a new Trigger and paste in "esx.problem.vmsyslogd.remote.failure" for the Event. Select "Alert" for the Status. Click "Next". Add an action to send an email or a trap for "green to yellow" and "yellow to red" categories, configure appropriately. Click "Finish".</t>
    </r>
    <r>
      <rPr>
        <sz val="11"/>
        <color rgb="FF000000"/>
        <rFont val="Calibri"/>
      </rPr>
      <t xml:space="preserve">
</t>
    </r>
    <r>
      <rPr>
        <sz val="11"/>
        <color rgb="FF000000"/>
        <rFont val="Calibri"/>
      </rPr>
      <t>Note - This alarm will only trigger if syslog is configured for TCP or SSL connections and not UDP.</t>
    </r>
  </si>
  <si>
    <r>
      <rPr>
        <sz val="11"/>
        <color rgb="FF000000"/>
        <rFont val="Calibri"/>
      </rPr>
      <t>It is critical for the appropriate personnel to be aware if an ESXi host is at risk of failing to process audit logs as required. 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To ensure the appropriate personnel are alerted if an audit failure occurs a vCenter alarm can be created to trigger when an ESXi host can no longer reach its syslog server.</t>
    </r>
  </si>
  <si>
    <r>
      <rPr>
        <sz val="11"/>
        <color rgb="FF000000"/>
        <rFont val="Calibri"/>
      </rPr>
      <t>From the vSphere Web Client go to Host and Clusters &gt;&gt; Select a vCenter Server &gt;&gt; Monitor &gt;&gt; Issues &gt;&gt; Alarm Definitions. Verify there is an alarm created to alert when an ESXi host can no longer reach its syslog server.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Get-AlarmDefinition | Where {$_.ExtensionData.Info.Expression.Expression.EventTypeId -eq "esx.problem.vmsyslogd.remote.failure"} | Select Name,Enabled,@{N="EventTypeId";E={$_.ExtensionData.Info.Expression.Expression.EventTypeId}}</t>
    </r>
    <r>
      <rPr>
        <sz val="11"/>
        <color rgb="FF000000"/>
        <rFont val="Calibri"/>
      </rPr>
      <t xml:space="preserve">
</t>
    </r>
    <r>
      <rPr>
        <sz val="11"/>
        <color rgb="FF000000"/>
        <rFont val="Calibri"/>
      </rPr>
      <t>If an alarm is not created to alert when syslog failures occur, this is a finding.</t>
    </r>
  </si>
  <si>
    <t>V-216832</t>
  </si>
  <si>
    <r>
      <rPr>
        <sz val="11"/>
        <rFont val="Calibri"/>
      </rPr>
      <t>The vCenter Server for Windows must use Active Directory authentication.</t>
    </r>
  </si>
  <si>
    <r>
      <rPr>
        <sz val="11"/>
        <color rgb="FF000000"/>
        <rFont val="Calibri"/>
      </rPr>
      <t>If the server hosting vCenter is not joined to the domain follow the OS specific procedures to join it to Active Directory.</t>
    </r>
    <r>
      <rPr>
        <sz val="11"/>
        <color rgb="FF000000"/>
        <rFont val="Calibri"/>
      </rPr>
      <t xml:space="preserve">
</t>
    </r>
    <r>
      <rPr>
        <sz val="11"/>
        <color rgb="FF000000"/>
        <rFont val="Calibri"/>
      </rPr>
      <t>If local accounts are used for normal operations then Active Directory accounts should be created and used.</t>
    </r>
  </si>
  <si>
    <r>
      <rPr>
        <sz val="11"/>
        <color rgb="FF000000"/>
        <rFont val="Calibri"/>
      </rPr>
      <t>The vCenter Server for Windows must ensure users are authenticated with an individual authenticator prior to using a group authenticator.  Using Active Directory for authentication provides more robust account management capabilities.</t>
    </r>
  </si>
  <si>
    <r>
      <rPr>
        <sz val="11"/>
        <color rgb="FF000000"/>
        <rFont val="Calibri"/>
      </rPr>
      <t>If Active Directory is not used in the environment, this is not applicable.</t>
    </r>
    <r>
      <rPr>
        <sz val="11"/>
        <color rgb="FF000000"/>
        <rFont val="Calibri"/>
      </rPr>
      <t xml:space="preserve">
</t>
    </r>
    <r>
      <rPr>
        <sz val="11"/>
        <color rgb="FF000000"/>
        <rFont val="Calibri"/>
      </rPr>
      <t>Verify the Windows server hosting vCenter is joined to the domain and access to the server and to vCenter is done using Active Directory accounts.</t>
    </r>
    <r>
      <rPr>
        <sz val="11"/>
        <color rgb="FF000000"/>
        <rFont val="Calibri"/>
      </rPr>
      <t xml:space="preserve">
</t>
    </r>
    <r>
      <rPr>
        <sz val="11"/>
        <color rgb="FF000000"/>
        <rFont val="Calibri"/>
      </rPr>
      <t>If the vCenter server is not joined to an Active Directory domain, this is a finding.</t>
    </r>
    <r>
      <rPr>
        <sz val="11"/>
        <color rgb="FF000000"/>
        <rFont val="Calibri"/>
      </rPr>
      <t xml:space="preserve">
</t>
    </r>
    <r>
      <rPr>
        <sz val="11"/>
        <color rgb="FF000000"/>
        <rFont val="Calibri"/>
      </rPr>
      <t>If Active Directory-based accounts are not used for daily operations of the vCenter server, this is a finding.</t>
    </r>
  </si>
  <si>
    <t>V-216833</t>
  </si>
  <si>
    <r>
      <rPr>
        <sz val="11"/>
        <rFont val="Calibri"/>
      </rPr>
      <t>The vCenter Server for Windows must limit the use of the built-in SSO administrative account.</t>
    </r>
  </si>
  <si>
    <r>
      <rPr>
        <sz val="11"/>
        <color rgb="FF000000"/>
        <rFont val="Calibri"/>
      </rPr>
      <t>A policy should be developed to limit the use of the built-in SSO administrator account.</t>
    </r>
  </si>
  <si>
    <r>
      <rPr>
        <sz val="11"/>
        <color rgb="FF000000"/>
        <rFont val="Calibri"/>
      </rPr>
      <t>Use of the SSO administrator account should be limited as it is a shared account and individual accounts must be used wherever possible.</t>
    </r>
  </si>
  <si>
    <r>
      <rPr>
        <sz val="11"/>
        <color rgb="FF000000"/>
        <rFont val="Calibri"/>
      </rPr>
      <t>Verify the built-in SSO administrator account is only used for emergencies and situations where it is the only option due to permissions.</t>
    </r>
    <r>
      <rPr>
        <sz val="11"/>
        <color rgb="FF000000"/>
        <rFont val="Calibri"/>
      </rPr>
      <t xml:space="preserve">
</t>
    </r>
    <r>
      <rPr>
        <sz val="11"/>
        <color rgb="FF000000"/>
        <rFont val="Calibri"/>
      </rPr>
      <t>If the built-in SSO administrator account is used for daily operations or there is no policy restricting its use, this is a finding.</t>
    </r>
  </si>
  <si>
    <t>V-216834</t>
  </si>
  <si>
    <r>
      <rPr>
        <sz val="11"/>
        <rFont val="Calibri"/>
      </rPr>
      <t>The vCenter Server for Windows must disable the distributed virtual switch health check.</t>
    </r>
  </si>
  <si>
    <r>
      <rPr>
        <sz val="11"/>
        <color rgb="FF000000"/>
        <rFont val="Calibri"/>
      </rPr>
      <t>From the vSphere Web Client go to Networking &gt;&gt; Select a distributed switch &gt;&gt; Configure &gt;&gt; Settings &gt;&gt; Health Check. Click the "Edit" button and disable both health checks.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Get-View -ViewType DistributedVirtualSwitch | ?{($_.config.HealthCheckConfig | ?{$_.enable -notmatch "False"})}| %{$_.UpdateDVSHealthCheckConfig(@((New-Object Vmware.Vim.VMwareDVSVlanMtuHealthCheckConfig -property @{enable=0}),(New-Object Vmware.Vim.VMwareDVSTeamingHealthCheckConfig -property @{enable=0})))}</t>
    </r>
  </si>
  <si>
    <r>
      <rPr>
        <sz val="11"/>
        <color rgb="FF000000"/>
        <rFont val="Calibri"/>
      </rPr>
      <t>Network Healthcheck is disabled by default. Once enabled, the healthcheck packets contain information on host#, vds#, port#, which an attacker would find useful. It is recommended that network healthcheck be used for troubleshooting, and turned off when troubleshooting is finished.</t>
    </r>
  </si>
  <si>
    <r>
      <rPr>
        <sz val="11"/>
        <color rgb="FF000000"/>
        <rFont val="Calibri"/>
      </rPr>
      <t>From the vSphere Web Client go to Networking &gt;&gt; Select a distributed switch &gt;&gt; Configure &gt;&gt; Settings &gt;&gt; Health Check. View the health check pane and verify both checks are disabled.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$vds = Get-VDSwitch</t>
    </r>
    <r>
      <rPr>
        <sz val="11"/>
        <color rgb="FF000000"/>
        <rFont val="Calibri"/>
      </rPr>
      <t xml:space="preserve">
</t>
    </r>
    <r>
      <rPr>
        <sz val="11"/>
        <color rgb="FF000000"/>
        <rFont val="Calibri"/>
      </rPr>
      <t>$vds.ExtensionData.Config.HealthCheckConfig</t>
    </r>
    <r>
      <rPr>
        <sz val="11"/>
        <color rgb="FF000000"/>
        <rFont val="Calibri"/>
      </rPr>
      <t xml:space="preserve">
</t>
    </r>
    <r>
      <rPr>
        <sz val="11"/>
        <color rgb="FF000000"/>
        <rFont val="Calibri"/>
      </rPr>
      <t>If the health check feature is enabled on distributed switches and is not on temporarily for troubleshooting purposes, this is a finding.</t>
    </r>
  </si>
  <si>
    <t>V-216835</t>
  </si>
  <si>
    <r>
      <rPr>
        <sz val="11"/>
        <rFont val="Calibri"/>
      </rPr>
      <t>The vCenter Server for Windows must set the distributed port group Forged Transmits policy to reject.</t>
    </r>
  </si>
  <si>
    <r>
      <rPr>
        <sz val="11"/>
        <color rgb="FF000000"/>
        <rFont val="Calibri"/>
      </rPr>
      <t>From the vSphere Web Client go to Networking &gt;&gt; Select a distributed switch &gt;&gt; Select a port group &gt;&gt; Configure &gt;&gt; Settings &gt;&gt; Policies &gt;&gt; Edit &gt;&gt; Security. Set "Forged Transmits" to reject.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 | Set-VDSecurityPolicy -ForgedTransmits $false</t>
    </r>
    <r>
      <rPr>
        <sz val="11"/>
        <color rgb="FF000000"/>
        <rFont val="Calibri"/>
      </rPr>
      <t xml:space="preserve">
</t>
    </r>
    <r>
      <rPr>
        <sz val="11"/>
        <color rgb="FF000000"/>
        <rFont val="Calibri"/>
      </rPr>
      <t>Get-VDPortgroup | ?{$_.IsUplink -eq $false} | Get-VDSecurityPolicy | Set-VDSecurityPolicy -ForgedTransmits $false</t>
    </r>
  </si>
  <si>
    <r>
      <rPr>
        <sz val="11"/>
        <color rgb="FF000000"/>
        <rFont val="Calibri"/>
      </rPr>
      <t>If the virtual machine operating system changes the MAC address, the operating system can send frames with an impersonated source MAC address at any time. This allows an operating system to stage malicious attacks on the devices in a network by impersonating a network adaptor authorized by the receiving network.</t>
    </r>
    <r>
      <rPr>
        <sz val="11"/>
        <color rgb="FF000000"/>
        <rFont val="Calibri"/>
      </rPr>
      <t xml:space="preserve">
</t>
    </r>
    <r>
      <rPr>
        <sz val="11"/>
        <color rgb="FF000000"/>
        <rFont val="Calibri"/>
      </rPr>
      <t>When the Forged transmits option is set to Accept, ESXi does not compare source and effective MAC addresses.</t>
    </r>
    <r>
      <rPr>
        <sz val="11"/>
        <color rgb="FF000000"/>
        <rFont val="Calibri"/>
      </rPr>
      <t xml:space="preserve">
</t>
    </r>
    <r>
      <rPr>
        <sz val="11"/>
        <color rgb="FF000000"/>
        <rFont val="Calibri"/>
      </rPr>
      <t>To protect against MAC impersonation, you can set the Forged transmits option to Reject. If you do, the host compares the source MAC address being transmitted by the guest operating system with the effective MAC address for its virtual machine adapter to see if they match. If the addresses do not match, the ESXi host drops the packet.</t>
    </r>
  </si>
  <si>
    <r>
      <rPr>
        <sz val="11"/>
        <color rgb="FF000000"/>
        <rFont val="Calibri"/>
      </rPr>
      <t>From the vSphere Web Client go to Networking &gt;&gt; Select a distributed switch &gt;&gt; Select a port group &gt;&gt; Configure &gt;&gt; Settings &gt;&gt; Policies</t>
    </r>
    <r>
      <rPr>
        <sz val="11"/>
        <color rgb="FF000000"/>
        <rFont val="Calibri"/>
      </rPr>
      <t xml:space="preserve">
</t>
    </r>
    <r>
      <rPr>
        <sz val="11"/>
        <color rgb="FF000000"/>
        <rFont val="Calibri"/>
      </rPr>
      <t>Verify "Forged Transmits"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t>
    </r>
    <r>
      <rPr>
        <sz val="11"/>
        <color rgb="FF000000"/>
        <rFont val="Calibri"/>
      </rPr>
      <t xml:space="preserve">
</t>
    </r>
    <r>
      <rPr>
        <sz val="11"/>
        <color rgb="FF000000"/>
        <rFont val="Calibri"/>
      </rPr>
      <t>Get-VDPortgroup | ?{$_.IsUplink -eq $false} | Get-VDSecurityPolicy</t>
    </r>
    <r>
      <rPr>
        <sz val="11"/>
        <color rgb="FF000000"/>
        <rFont val="Calibri"/>
      </rPr>
      <t xml:space="preserve">
</t>
    </r>
    <r>
      <rPr>
        <sz val="11"/>
        <color rgb="FF000000"/>
        <rFont val="Calibri"/>
      </rPr>
      <t>If the "Forged Transmits" policy is set to accept for a non-uplink port, this is a finding.</t>
    </r>
  </si>
  <si>
    <t>V-216836</t>
  </si>
  <si>
    <r>
      <rPr>
        <sz val="11"/>
        <rFont val="Calibri"/>
      </rPr>
      <t>The vCenter Server for Windows must set the distributed port group MAC Address Change policy to reject.</t>
    </r>
  </si>
  <si>
    <r>
      <rPr>
        <sz val="11"/>
        <color rgb="FF000000"/>
        <rFont val="Calibri"/>
      </rPr>
      <t>From the vSphere Web Client go to Networking &gt;&gt; Select a distributed switch &gt;&gt; Select a port group &gt;&gt; Configure &gt;&gt; Settings &gt;&gt; Policies &gt;&gt; Edit &gt;&gt; Security. Set "MAC Address Changes" to reject. Click "OK".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 | Set-VDSecurityPolicy -MacChanges $false</t>
    </r>
    <r>
      <rPr>
        <sz val="11"/>
        <color rgb="FF000000"/>
        <rFont val="Calibri"/>
      </rPr>
      <t xml:space="preserve">
</t>
    </r>
    <r>
      <rPr>
        <sz val="11"/>
        <color rgb="FF000000"/>
        <rFont val="Calibri"/>
      </rPr>
      <t>Get-VDPortgroup | ?{$_.IsUplink -eq $false} | Get-VDSecurityPolicy | Set-VDSecurityPolicy -MacChanges $false</t>
    </r>
  </si>
  <si>
    <r>
      <rPr>
        <sz val="11"/>
        <color rgb="FF000000"/>
        <rFont val="Calibri"/>
      </rPr>
      <t>If the virtual machine operating system changes the MAC address, it can send frames with an impersonated source MAC address at any time. This allows it to stage malicious attacks on the devices in a network by impersonating a network adaptor authorized by the receiving network. This will prevent VMs from changing their effective MAC address. It will affect applications that require this functionality. This will also affect how a layer 2 bridge will operate. This will also affect applications that require a specific MAC address for licensing.</t>
    </r>
  </si>
  <si>
    <r>
      <rPr>
        <sz val="11"/>
        <color rgb="FF000000"/>
        <rFont val="Calibri"/>
      </rPr>
      <t>From the vSphere Web Client go to Networking &gt;&gt; Select a distributed switch &gt;&gt; Select a port group &gt;&gt; Configure &gt;&gt; Settings &gt;&gt; Policies</t>
    </r>
    <r>
      <rPr>
        <sz val="11"/>
        <color rgb="FF000000"/>
        <rFont val="Calibri"/>
      </rPr>
      <t xml:space="preserve">
</t>
    </r>
    <r>
      <rPr>
        <sz val="11"/>
        <color rgb="FF000000"/>
        <rFont val="Calibri"/>
      </rPr>
      <t>Verify "MAC Address Changes"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t>
    </r>
    <r>
      <rPr>
        <sz val="11"/>
        <color rgb="FF000000"/>
        <rFont val="Calibri"/>
      </rPr>
      <t xml:space="preserve">
</t>
    </r>
    <r>
      <rPr>
        <sz val="11"/>
        <color rgb="FF000000"/>
        <rFont val="Calibri"/>
      </rPr>
      <t>Get-VDPortgroup | ?{$_.IsUplink -eq $false} | Get-VDSecurityPolicy</t>
    </r>
    <r>
      <rPr>
        <sz val="11"/>
        <color rgb="FF000000"/>
        <rFont val="Calibri"/>
      </rPr>
      <t xml:space="preserve">
</t>
    </r>
    <r>
      <rPr>
        <sz val="11"/>
        <color rgb="FF000000"/>
        <rFont val="Calibri"/>
      </rPr>
      <t>If the "MAC Address Changes" policy is set to accept, this is a finding.</t>
    </r>
  </si>
  <si>
    <t>V-216837</t>
  </si>
  <si>
    <r>
      <rPr>
        <sz val="11"/>
        <rFont val="Calibri"/>
      </rPr>
      <t>The vCenter Server for Windows must set the distributed port group Promiscuous Mode policy to reject.</t>
    </r>
  </si>
  <si>
    <r>
      <rPr>
        <sz val="11"/>
        <color rgb="FF000000"/>
        <rFont val="Calibri"/>
      </rPr>
      <t>From the vSphere Web Client go to Networking &gt;&gt; Select a distributed switch &gt;&gt; Select a port group &gt;&gt; Configure &gt;&gt; Settings &gt;&gt; Policies &gt;&gt; Edit &gt;&gt; Security. Set "Promiscuous Mode" to reject. Click "OK".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 | Set-VDSecurityPolicy -AllowPromiscuous $false</t>
    </r>
    <r>
      <rPr>
        <sz val="11"/>
        <color rgb="FF000000"/>
        <rFont val="Calibri"/>
      </rPr>
      <t xml:space="preserve">
</t>
    </r>
    <r>
      <rPr>
        <sz val="11"/>
        <color rgb="FF000000"/>
        <rFont val="Calibri"/>
      </rPr>
      <t>Get-VDPortgroup | ?{$_.IsUplink -eq $false} | Get-VDSecurityPolicy | Set-VDSecurityPolicy -AllowPromiscuous $false</t>
    </r>
  </si>
  <si>
    <r>
      <rPr>
        <sz val="11"/>
        <color rgb="FF000000"/>
        <rFont val="Calibri"/>
      </rPr>
      <t>When promiscuous mode is enabled for a virtual switch all virtual machines connected to the Portgroup have the potential of reading all packets across that network, meaning only the virtual machines connected to that Portgroup. Promiscuous mode is disabled by default on the ESXi Server, and this is the recommended setting.</t>
    </r>
  </si>
  <si>
    <r>
      <rPr>
        <sz val="11"/>
        <color rgb="FF000000"/>
        <rFont val="Calibri"/>
      </rPr>
      <t>From the vSphere Web Client go to Networking &gt;&gt; Select a distributed switch &gt;&gt; Select a port group &gt;&gt; Configure &gt;&gt; Settings &gt;&gt; Policies</t>
    </r>
    <r>
      <rPr>
        <sz val="11"/>
        <color rgb="FF000000"/>
        <rFont val="Calibri"/>
      </rPr>
      <t xml:space="preserve">
</t>
    </r>
    <r>
      <rPr>
        <sz val="11"/>
        <color rgb="FF000000"/>
        <rFont val="Calibri"/>
      </rPr>
      <t>Verify "Promiscuous Mode"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t>
    </r>
    <r>
      <rPr>
        <sz val="11"/>
        <color rgb="FF000000"/>
        <rFont val="Calibri"/>
      </rPr>
      <t xml:space="preserve">
</t>
    </r>
    <r>
      <rPr>
        <sz val="11"/>
        <color rgb="FF000000"/>
        <rFont val="Calibri"/>
      </rPr>
      <t>Get-VDPortgroup | ?{$_.IsUplink -eq $false} | Get-VDSecurityPolicy</t>
    </r>
    <r>
      <rPr>
        <sz val="11"/>
        <color rgb="FF000000"/>
        <rFont val="Calibri"/>
      </rPr>
      <t xml:space="preserve">
</t>
    </r>
    <r>
      <rPr>
        <sz val="11"/>
        <color rgb="FF000000"/>
        <rFont val="Calibri"/>
      </rPr>
      <t>If the "Promiscuous Mode" policy is set to accept, this is a finding.</t>
    </r>
  </si>
  <si>
    <t>V-216838</t>
  </si>
  <si>
    <r>
      <rPr>
        <sz val="11"/>
        <rFont val="Calibri"/>
      </rPr>
      <t>The vCenter Server for Windows must only send NetFlow traffic to authorized collectors.</t>
    </r>
  </si>
  <si>
    <r>
      <rPr>
        <sz val="11"/>
        <color rgb="FF000000"/>
        <rFont val="Calibri"/>
      </rPr>
      <t>To remove collector IPs do the following:</t>
    </r>
    <r>
      <rPr>
        <sz val="11"/>
        <color rgb="FF000000"/>
        <rFont val="Calibri"/>
      </rPr>
      <t xml:space="preserve">
</t>
    </r>
    <r>
      <rPr>
        <sz val="11"/>
        <color rgb="FF000000"/>
        <rFont val="Calibri"/>
      </rPr>
      <t>From the vSphere Web Client go to Networking &gt;&gt; Select a distributed switch &gt;&gt; Configure &gt;&gt; Settings &gt;&gt; NetFlow. Click edit and remove any unknown collector IPs.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$dvs = Get-VDSwitch dvswitch | Get-View</t>
    </r>
    <r>
      <rPr>
        <sz val="11"/>
        <color rgb="FF000000"/>
        <rFont val="Calibri"/>
      </rPr>
      <t xml:space="preserve">
</t>
    </r>
    <r>
      <rPr>
        <sz val="11"/>
        <color rgb="FF000000"/>
        <rFont val="Calibri"/>
      </rPr>
      <t>ForEach($vs in $dvs){</t>
    </r>
    <r>
      <rPr>
        <sz val="11"/>
        <color rgb="FF000000"/>
        <rFont val="Calibri"/>
      </rPr>
      <t xml:space="preserve">
</t>
    </r>
    <r>
      <rPr>
        <sz val="11"/>
        <color rgb="FF000000"/>
        <rFont val="Calibri"/>
      </rPr>
      <t>$spec = New-Object VMware.Vim.VMwareDVSConfigSpec</t>
    </r>
    <r>
      <rPr>
        <sz val="11"/>
        <color rgb="FF000000"/>
        <rFont val="Calibri"/>
      </rPr>
      <t xml:space="preserve">
</t>
    </r>
    <r>
      <rPr>
        <sz val="11"/>
        <color rgb="FF000000"/>
        <rFont val="Calibri"/>
      </rPr>
      <t>$spec.configversion = $vs.Config.ConfigVersion</t>
    </r>
    <r>
      <rPr>
        <sz val="11"/>
        <color rgb="FF000000"/>
        <rFont val="Calibri"/>
      </rPr>
      <t xml:space="preserve">
</t>
    </r>
    <r>
      <rPr>
        <sz val="11"/>
        <color rgb="FF000000"/>
        <rFont val="Calibri"/>
      </rPr>
      <t>$spec.IpfixConfig = New-Object VMware.Vim.VMwareIpfixConfig</t>
    </r>
    <r>
      <rPr>
        <sz val="11"/>
        <color rgb="FF000000"/>
        <rFont val="Calibri"/>
      </rPr>
      <t xml:space="preserve">
</t>
    </r>
    <r>
      <rPr>
        <sz val="11"/>
        <color rgb="FF000000"/>
        <rFont val="Calibri"/>
      </rPr>
      <t>$spec.IpfixConfig.CollectorIpAddress = ""</t>
    </r>
    <r>
      <rPr>
        <sz val="11"/>
        <color rgb="FF000000"/>
        <rFont val="Calibri"/>
      </rPr>
      <t xml:space="preserve">
</t>
    </r>
    <r>
      <rPr>
        <sz val="11"/>
        <color rgb="FF000000"/>
        <rFont val="Calibri"/>
      </rPr>
      <t>$spec.IpfixConfig.CollectorPort = "0"</t>
    </r>
    <r>
      <rPr>
        <sz val="11"/>
        <color rgb="FF000000"/>
        <rFont val="Calibri"/>
      </rPr>
      <t xml:space="preserve">
</t>
    </r>
    <r>
      <rPr>
        <sz val="11"/>
        <color rgb="FF000000"/>
        <rFont val="Calibri"/>
      </rPr>
      <t>$spec.IpfixConfig.ActiveFlowTimeout = "60"</t>
    </r>
    <r>
      <rPr>
        <sz val="11"/>
        <color rgb="FF000000"/>
        <rFont val="Calibri"/>
      </rPr>
      <t xml:space="preserve">
</t>
    </r>
    <r>
      <rPr>
        <sz val="11"/>
        <color rgb="FF000000"/>
        <rFont val="Calibri"/>
      </rPr>
      <t>$spec.IpfixConfig.IdleFlowTimeout = "15"</t>
    </r>
    <r>
      <rPr>
        <sz val="11"/>
        <color rgb="FF000000"/>
        <rFont val="Calibri"/>
      </rPr>
      <t xml:space="preserve">
</t>
    </r>
    <r>
      <rPr>
        <sz val="11"/>
        <color rgb="FF000000"/>
        <rFont val="Calibri"/>
      </rPr>
      <t>$spec.IpfixConfig.SamplingRate = "0"</t>
    </r>
    <r>
      <rPr>
        <sz val="11"/>
        <color rgb="FF000000"/>
        <rFont val="Calibri"/>
      </rPr>
      <t xml:space="preserve">
</t>
    </r>
    <r>
      <rPr>
        <sz val="11"/>
        <color rgb="FF000000"/>
        <rFont val="Calibri"/>
      </rPr>
      <t>$spec.IpfixConfig.InternalFlowsOnly = $False</t>
    </r>
    <r>
      <rPr>
        <sz val="11"/>
        <color rgb="FF000000"/>
        <rFont val="Calibri"/>
      </rPr>
      <t xml:space="preserve">
</t>
    </r>
    <r>
      <rPr>
        <sz val="11"/>
        <color rgb="FF000000"/>
        <rFont val="Calibri"/>
      </rPr>
      <t>$vs.ReconfigureDvs_Task($spec)</t>
    </r>
    <r>
      <rPr>
        <sz val="11"/>
        <color rgb="FF000000"/>
        <rFont val="Calibri"/>
      </rPr>
      <t xml:space="preserve">
</t>
    </r>
    <r>
      <rPr>
        <sz val="11"/>
        <color rgb="FF000000"/>
        <rFont val="Calibri"/>
      </rPr>
      <t>}</t>
    </r>
    <r>
      <rPr>
        <sz val="11"/>
        <color rgb="FF000000"/>
        <rFont val="Calibri"/>
      </rPr>
      <t xml:space="preserve">
</t>
    </r>
    <r>
      <rPr>
        <sz val="11"/>
        <color rgb="FF000000"/>
        <rFont val="Calibri"/>
      </rPr>
      <t>Note: This will reset the NetFlow collector configuration back to the defaults.</t>
    </r>
    <r>
      <rPr>
        <sz val="11"/>
        <color rgb="FF000000"/>
        <rFont val="Calibri"/>
      </rPr>
      <t xml:space="preserve">
</t>
    </r>
    <r>
      <rPr>
        <sz val="11"/>
        <color rgb="FF000000"/>
        <rFont val="Calibri"/>
      </rPr>
      <t>To disable NetFlow on a distributed port group do the following:</t>
    </r>
    <r>
      <rPr>
        <sz val="11"/>
        <color rgb="FF000000"/>
        <rFont val="Calibri"/>
      </rPr>
      <t xml:space="preserve">
</t>
    </r>
    <r>
      <rPr>
        <sz val="11"/>
        <color rgb="FF000000"/>
        <rFont val="Calibri"/>
      </rPr>
      <t>From the vSphere Web Client go to Networking &gt;&gt; Select a distributed port group &gt;&gt; Manage &gt;&gt; Settings &gt;&gt; Policies. Go to Monitoring and change NetFlow to disabled.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$pgs = Get-VDPortgroup | Get-View</t>
    </r>
    <r>
      <rPr>
        <sz val="11"/>
        <color rgb="FF000000"/>
        <rFont val="Calibri"/>
      </rPr>
      <t xml:space="preserve">
</t>
    </r>
    <r>
      <rPr>
        <sz val="11"/>
        <color rgb="FF000000"/>
        <rFont val="Calibri"/>
      </rPr>
      <t>ForEach($pg in $pgs){</t>
    </r>
    <r>
      <rPr>
        <sz val="11"/>
        <color rgb="FF000000"/>
        <rFont val="Calibri"/>
      </rPr>
      <t xml:space="preserve">
</t>
    </r>
    <r>
      <rPr>
        <sz val="11"/>
        <color rgb="FF000000"/>
        <rFont val="Calibri"/>
      </rPr>
      <t>$spec = New-Object VMware.Vim.DVPortgroupConfigSpec</t>
    </r>
    <r>
      <rPr>
        <sz val="11"/>
        <color rgb="FF000000"/>
        <rFont val="Calibri"/>
      </rPr>
      <t xml:space="preserve">
</t>
    </r>
    <r>
      <rPr>
        <sz val="11"/>
        <color rgb="FF000000"/>
        <rFont val="Calibri"/>
      </rPr>
      <t>$spec.configversion = $pg.Config.ConfigVersion</t>
    </r>
    <r>
      <rPr>
        <sz val="11"/>
        <color rgb="FF000000"/>
        <rFont val="Calibri"/>
      </rPr>
      <t xml:space="preserve">
</t>
    </r>
    <r>
      <rPr>
        <sz val="11"/>
        <color rgb="FF000000"/>
        <rFont val="Calibri"/>
      </rPr>
      <t>$spec.defaultPortConfig = New-Object VMware.Vim.VMwareDVSPortSetting</t>
    </r>
    <r>
      <rPr>
        <sz val="11"/>
        <color rgb="FF000000"/>
        <rFont val="Calibri"/>
      </rPr>
      <t xml:space="preserve">
</t>
    </r>
    <r>
      <rPr>
        <sz val="11"/>
        <color rgb="FF000000"/>
        <rFont val="Calibri"/>
      </rPr>
      <t>$spec.defaultPortConfig.ipfixEnabled = New-Object VMware.Vim.BoolPolicy</t>
    </r>
    <r>
      <rPr>
        <sz val="11"/>
        <color rgb="FF000000"/>
        <rFont val="Calibri"/>
      </rPr>
      <t xml:space="preserve">
</t>
    </r>
    <r>
      <rPr>
        <sz val="11"/>
        <color rgb="FF000000"/>
        <rFont val="Calibri"/>
      </rPr>
      <t>$spec.defaultPortConfig.ipfixEnabled.inherited = $false</t>
    </r>
    <r>
      <rPr>
        <sz val="11"/>
        <color rgb="FF000000"/>
        <rFont val="Calibri"/>
      </rPr>
      <t xml:space="preserve">
</t>
    </r>
    <r>
      <rPr>
        <sz val="11"/>
        <color rgb="FF000000"/>
        <rFont val="Calibri"/>
      </rPr>
      <t>$spec.defaultPortConfig.ipfixEnabled.value = $false</t>
    </r>
    <r>
      <rPr>
        <sz val="11"/>
        <color rgb="FF000000"/>
        <rFont val="Calibri"/>
      </rPr>
      <t xml:space="preserve">
</t>
    </r>
    <r>
      <rPr>
        <sz val="11"/>
        <color rgb="FF000000"/>
        <rFont val="Calibri"/>
      </rPr>
      <t>$pg.ReconfigureDVPortgroup_Task($spec)</t>
    </r>
    <r>
      <rPr>
        <sz val="11"/>
        <color rgb="FF000000"/>
        <rFont val="Calibri"/>
      </rPr>
      <t xml:space="preserve">
</t>
    </r>
    <r>
      <rPr>
        <sz val="11"/>
        <color rgb="FF000000"/>
        <rFont val="Calibri"/>
      </rPr>
      <t>}</t>
    </r>
  </si>
  <si>
    <r>
      <rPr>
        <sz val="11"/>
        <color rgb="FF000000"/>
        <rFont val="Calibri"/>
      </rPr>
      <t>The distributed virtual switch can export NetFlow information about traffic crossing the switch. NetFlow exports are not encrypted and can contain information about the virtual network making it easier for a MitM attack to be executed successfully. If NetFlow export is required, verify that all NetFlow target IP's are correct.</t>
    </r>
  </si>
  <si>
    <r>
      <rPr>
        <sz val="11"/>
        <color rgb="FF000000"/>
        <rFont val="Calibri"/>
      </rPr>
      <t>To view NetFlow Collector IPs configured on distributed switches:</t>
    </r>
    <r>
      <rPr>
        <sz val="11"/>
        <color rgb="FF000000"/>
        <rFont val="Calibri"/>
      </rPr>
      <t xml:space="preserve">
</t>
    </r>
    <r>
      <rPr>
        <sz val="11"/>
        <color rgb="FF000000"/>
        <rFont val="Calibri"/>
      </rPr>
      <t>From the vSphere Web Client go to Networking &gt;&gt; Select a distributed switch &gt;&gt; Configure &gt;&gt; Settings &gt;&gt; NetFlow. View the NetFlow pane and verify any collector IP addresses are valid and in use for troubleshooting.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 select Name,@{N="NetFlowCollectorIPs";E={$_.ExtensionData.config.IpfixConfig.CollectorIpAddress}}</t>
    </r>
    <r>
      <rPr>
        <sz val="11"/>
        <color rgb="FF000000"/>
        <rFont val="Calibri"/>
      </rPr>
      <t xml:space="preserve">
</t>
    </r>
    <r>
      <rPr>
        <sz val="11"/>
        <color rgb="FF000000"/>
        <rFont val="Calibri"/>
      </rPr>
      <t>----</t>
    </r>
    <r>
      <rPr>
        <sz val="11"/>
        <color rgb="FF000000"/>
        <rFont val="Calibri"/>
      </rPr>
      <t xml:space="preserve">
</t>
    </r>
    <r>
      <rPr>
        <sz val="11"/>
        <color rgb="FF000000"/>
        <rFont val="Calibri"/>
      </rPr>
      <t>To view if NetFlow is enabled on any distributed port groups:</t>
    </r>
    <r>
      <rPr>
        <sz val="11"/>
        <color rgb="FF000000"/>
        <rFont val="Calibri"/>
      </rPr>
      <t xml:space="preserve">
</t>
    </r>
    <r>
      <rPr>
        <sz val="11"/>
        <color rgb="FF000000"/>
        <rFont val="Calibri"/>
      </rPr>
      <t>From the vSphere Web Client go to Networking &gt;&gt; Select a distributed port group &gt;&gt; Manage &gt;&gt; Settings &gt;&gt; Policies. Go to Monitoring and view the NetFlow status.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Select Name,VirtualSwitch,@{N="NetFlowEnabled";E={$_.Extensiondata.Config.defaultPortConfig.ipfixEnabled.Value}}</t>
    </r>
    <r>
      <rPr>
        <sz val="11"/>
        <color rgb="FF000000"/>
        <rFont val="Calibri"/>
      </rPr>
      <t xml:space="preserve">
</t>
    </r>
    <r>
      <rPr>
        <sz val="11"/>
        <color rgb="FF000000"/>
        <rFont val="Calibri"/>
      </rPr>
      <t>If NetFlow is configured and the collector IP is not known and is not enabled temporarily for troubleshooting purposes, this is a finding.</t>
    </r>
  </si>
  <si>
    <t>V-216839</t>
  </si>
  <si>
    <r>
      <rPr>
        <sz val="11"/>
        <rFont val="Calibri"/>
      </rPr>
      <t>The vCenter Server for Windows must not override port group settings at the port level on distributed switches.</t>
    </r>
  </si>
  <si>
    <r>
      <rPr>
        <sz val="11"/>
        <color rgb="FF000000"/>
        <rFont val="Calibri"/>
      </rPr>
      <t>From the vSphere Web Client go to Networking &gt;&gt; Select a distributed switch &gt;&gt; Select a distributed port group &gt;&gt; Configure &gt;&gt; Settings &gt;&gt; Properties. Click "Edit" and change all Override port policies to disabled.</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$pgs = Get-VDPortgroup | Get-View</t>
    </r>
    <r>
      <rPr>
        <sz val="11"/>
        <color rgb="FF000000"/>
        <rFont val="Calibri"/>
      </rPr>
      <t xml:space="preserve">
</t>
    </r>
    <r>
      <rPr>
        <sz val="11"/>
        <color rgb="FF000000"/>
        <rFont val="Calibri"/>
      </rPr>
      <t>ForEach($pg in $pgs){</t>
    </r>
    <r>
      <rPr>
        <sz val="11"/>
        <color rgb="FF000000"/>
        <rFont val="Calibri"/>
      </rPr>
      <t xml:space="preserve">
</t>
    </r>
    <r>
      <rPr>
        <sz val="11"/>
        <color rgb="FF000000"/>
        <rFont val="Calibri"/>
      </rPr>
      <t>$spec = New-Object VMware.Vim.DVPortgroupConfigSpec</t>
    </r>
    <r>
      <rPr>
        <sz val="11"/>
        <color rgb="FF000000"/>
        <rFont val="Calibri"/>
      </rPr>
      <t xml:space="preserve">
</t>
    </r>
    <r>
      <rPr>
        <sz val="11"/>
        <color rgb="FF000000"/>
        <rFont val="Calibri"/>
      </rPr>
      <t>$spec.configversion = $pg.Config.ConfigVersion</t>
    </r>
    <r>
      <rPr>
        <sz val="11"/>
        <color rgb="FF000000"/>
        <rFont val="Calibri"/>
      </rPr>
      <t xml:space="preserve">
</t>
    </r>
    <r>
      <rPr>
        <sz val="11"/>
        <color rgb="FF000000"/>
        <rFont val="Calibri"/>
      </rPr>
      <t>$spec.Policy = New-Object VMware.Vim.VMwareDVSPortgroupPolicy</t>
    </r>
    <r>
      <rPr>
        <sz val="11"/>
        <color rgb="FF000000"/>
        <rFont val="Calibri"/>
      </rPr>
      <t xml:space="preserve">
</t>
    </r>
    <r>
      <rPr>
        <sz val="11"/>
        <color rgb="FF000000"/>
        <rFont val="Calibri"/>
      </rPr>
      <t>$spec.Policy.VlanOverrideAllowed = $False</t>
    </r>
    <r>
      <rPr>
        <sz val="11"/>
        <color rgb="FF000000"/>
        <rFont val="Calibri"/>
      </rPr>
      <t xml:space="preserve">
</t>
    </r>
    <r>
      <rPr>
        <sz val="11"/>
        <color rgb="FF000000"/>
        <rFont val="Calibri"/>
      </rPr>
      <t>$spec.Policy.UplinkTeamingOverrideAllowed = $False</t>
    </r>
    <r>
      <rPr>
        <sz val="11"/>
        <color rgb="FF000000"/>
        <rFont val="Calibri"/>
      </rPr>
      <t xml:space="preserve">
</t>
    </r>
    <r>
      <rPr>
        <sz val="11"/>
        <color rgb="FF000000"/>
        <rFont val="Calibri"/>
      </rPr>
      <t>$spec.Policy.SecurityPolicyOverrideAllowed = $False</t>
    </r>
    <r>
      <rPr>
        <sz val="11"/>
        <color rgb="FF000000"/>
        <rFont val="Calibri"/>
      </rPr>
      <t xml:space="preserve">
</t>
    </r>
    <r>
      <rPr>
        <sz val="11"/>
        <color rgb="FF000000"/>
        <rFont val="Calibri"/>
      </rPr>
      <t>$spec.Policy.IpfixOverrideAllowed = $False</t>
    </r>
    <r>
      <rPr>
        <sz val="11"/>
        <color rgb="FF000000"/>
        <rFont val="Calibri"/>
      </rPr>
      <t xml:space="preserve">
</t>
    </r>
    <r>
      <rPr>
        <sz val="11"/>
        <color rgb="FF000000"/>
        <rFont val="Calibri"/>
      </rPr>
      <t>$spec.Policy.BlockOverrideAllowed = $False</t>
    </r>
    <r>
      <rPr>
        <sz val="11"/>
        <color rgb="FF000000"/>
        <rFont val="Calibri"/>
      </rPr>
      <t xml:space="preserve">
</t>
    </r>
    <r>
      <rPr>
        <sz val="11"/>
        <color rgb="FF000000"/>
        <rFont val="Calibri"/>
      </rPr>
      <t>$spec.Policy.ShapingOverrideAllowed = $False</t>
    </r>
    <r>
      <rPr>
        <sz val="11"/>
        <color rgb="FF000000"/>
        <rFont val="Calibri"/>
      </rPr>
      <t xml:space="preserve">
</t>
    </r>
    <r>
      <rPr>
        <sz val="11"/>
        <color rgb="FF000000"/>
        <rFont val="Calibri"/>
      </rPr>
      <t>$spec.Policy.VendorConfigOverrideAllowed = $False</t>
    </r>
    <r>
      <rPr>
        <sz val="11"/>
        <color rgb="FF000000"/>
        <rFont val="Calibri"/>
      </rPr>
      <t xml:space="preserve">
</t>
    </r>
    <r>
      <rPr>
        <sz val="11"/>
        <color rgb="FF000000"/>
        <rFont val="Calibri"/>
      </rPr>
      <t>$spec.Policy.TrafficFilterOverrideAllowed = $False</t>
    </r>
    <r>
      <rPr>
        <sz val="11"/>
        <color rgb="FF000000"/>
        <rFont val="Calibri"/>
      </rPr>
      <t xml:space="preserve">
</t>
    </r>
    <r>
      <rPr>
        <sz val="11"/>
        <color rgb="FF000000"/>
        <rFont val="Calibri"/>
      </rPr>
      <t>$spec.Policy.PortConfigResetAtDisconnect = $True</t>
    </r>
    <r>
      <rPr>
        <sz val="11"/>
        <color rgb="FF000000"/>
        <rFont val="Calibri"/>
      </rPr>
      <t xml:space="preserve">
</t>
    </r>
    <r>
      <rPr>
        <sz val="11"/>
        <color rgb="FF000000"/>
        <rFont val="Calibri"/>
      </rPr>
      <t>$pg.ReconfigureDVPortgroup_Task($spec)</t>
    </r>
    <r>
      <rPr>
        <sz val="11"/>
        <color rgb="FF000000"/>
        <rFont val="Calibri"/>
      </rPr>
      <t xml:space="preserve">
</t>
    </r>
    <r>
      <rPr>
        <sz val="11"/>
        <color rgb="FF000000"/>
        <rFont val="Calibri"/>
      </rPr>
      <t>}</t>
    </r>
  </si>
  <si>
    <r>
      <rPr>
        <sz val="11"/>
        <color rgb="FF000000"/>
        <rFont val="Calibri"/>
      </rPr>
      <t>Port-level configuration overrides are disabled by default. Once enabled, this allows for different security settings to be set from what is established at the Port-Group level. There are cases where particular VMs require unique configurations, but this should be monitored so it is only used when authorized. If overrides are not monitored, anyone who gains access to a VM with a less secure VDS configuration could surreptitiously exploit that broader access.</t>
    </r>
  </si>
  <si>
    <r>
      <rPr>
        <sz val="11"/>
        <color rgb="FF000000"/>
        <rFont val="Calibri"/>
      </rPr>
      <t xml:space="preserve">From the vSphere Web Client go to Networking &gt;&gt; Select a distributed switch &gt;&gt; Select a distributed port group &gt;&gt; Configure &gt;&gt; Settings &gt;&gt; Properties. </t>
    </r>
    <r>
      <rPr>
        <sz val="11"/>
        <color rgb="FF000000"/>
        <rFont val="Calibri"/>
      </rPr>
      <t xml:space="preserve">
</t>
    </r>
    <r>
      <rPr>
        <sz val="11"/>
        <color rgb="FF000000"/>
        <rFont val="Calibri"/>
      </rPr>
      <t>View the Properties pane and verify all Override port policies are set to disabled.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 xml:space="preserve">Get-VDPortgroup | Get-View | </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@{N="VlanOverrideAllowed";E={$_.Config.Policy.VlanOverrideAllowed}},</t>
    </r>
    <r>
      <rPr>
        <sz val="11"/>
        <color rgb="FF000000"/>
        <rFont val="Calibri"/>
      </rPr>
      <t xml:space="preserve">
</t>
    </r>
    <r>
      <rPr>
        <sz val="11"/>
        <color rgb="FF000000"/>
        <rFont val="Calibri"/>
      </rPr>
      <t>@{N="UplinkTeamingOverrideAllowed";E={$_.Config.Policy.UplinkTeamingOverrideAllowed}},</t>
    </r>
    <r>
      <rPr>
        <sz val="11"/>
        <color rgb="FF000000"/>
        <rFont val="Calibri"/>
      </rPr>
      <t xml:space="preserve">
</t>
    </r>
    <r>
      <rPr>
        <sz val="11"/>
        <color rgb="FF000000"/>
        <rFont val="Calibri"/>
      </rPr>
      <t>@{N="SecurityPolicyOverrideAllowed";E={$_.Config.Policy.SecurityPolicyOverrideAllowed}},</t>
    </r>
    <r>
      <rPr>
        <sz val="11"/>
        <color rgb="FF000000"/>
        <rFont val="Calibri"/>
      </rPr>
      <t xml:space="preserve">
</t>
    </r>
    <r>
      <rPr>
        <sz val="11"/>
        <color rgb="FF000000"/>
        <rFont val="Calibri"/>
      </rPr>
      <t>@{N="IpfixOverrideAllowed";E={$_.Config.Policy.IpfixOverrideAllowed}},</t>
    </r>
    <r>
      <rPr>
        <sz val="11"/>
        <color rgb="FF000000"/>
        <rFont val="Calibri"/>
      </rPr>
      <t xml:space="preserve">
</t>
    </r>
    <r>
      <rPr>
        <sz val="11"/>
        <color rgb="FF000000"/>
        <rFont val="Calibri"/>
      </rPr>
      <t>@{N="BlockOverrideAllowed";E={$_.Config.Policy.BlockOverrideAllowed}},</t>
    </r>
    <r>
      <rPr>
        <sz val="11"/>
        <color rgb="FF000000"/>
        <rFont val="Calibri"/>
      </rPr>
      <t xml:space="preserve">
</t>
    </r>
    <r>
      <rPr>
        <sz val="11"/>
        <color rgb="FF000000"/>
        <rFont val="Calibri"/>
      </rPr>
      <t>@{N="ShapingOverrideAllowed";E={$_.Config.Policy.ShapingOverrideAllowed}},</t>
    </r>
    <r>
      <rPr>
        <sz val="11"/>
        <color rgb="FF000000"/>
        <rFont val="Calibri"/>
      </rPr>
      <t xml:space="preserve">
</t>
    </r>
    <r>
      <rPr>
        <sz val="11"/>
        <color rgb="FF000000"/>
        <rFont val="Calibri"/>
      </rPr>
      <t>@{N="VendorConfigOverrideAllowed";E={$_.Config.Policy.VendorConfigOverrideAllowed}},</t>
    </r>
    <r>
      <rPr>
        <sz val="11"/>
        <color rgb="FF000000"/>
        <rFont val="Calibri"/>
      </rPr>
      <t xml:space="preserve">
</t>
    </r>
    <r>
      <rPr>
        <sz val="11"/>
        <color rgb="FF000000"/>
        <rFont val="Calibri"/>
      </rPr>
      <t>@{N="TrafficFilterOverrideAllowed";E={$_.Config.Policy.TrafficFilterOverrideAllowed}},</t>
    </r>
    <r>
      <rPr>
        <sz val="11"/>
        <color rgb="FF000000"/>
        <rFont val="Calibri"/>
      </rPr>
      <t xml:space="preserve">
</t>
    </r>
    <r>
      <rPr>
        <sz val="11"/>
        <color rgb="FF000000"/>
        <rFont val="Calibri"/>
      </rPr>
      <t>@{N="PortConfigResetAtDisconnect";E={$_.Config.Policy.PortConfigResetAtDisconnect}} | Sort Name</t>
    </r>
    <r>
      <rPr>
        <sz val="11"/>
        <color rgb="FF000000"/>
        <rFont val="Calibri"/>
      </rPr>
      <t xml:space="preserve">
</t>
    </r>
    <r>
      <rPr>
        <sz val="11"/>
        <color rgb="FF000000"/>
        <rFont val="Calibri"/>
      </rPr>
      <t>Note: This was broken up into multiple lines for readability. Either paste as is into a PowerShell script or combine into one line and run.</t>
    </r>
    <r>
      <rPr>
        <sz val="11"/>
        <color rgb="FF000000"/>
        <rFont val="Calibri"/>
      </rPr>
      <t xml:space="preserve">
</t>
    </r>
    <r>
      <rPr>
        <sz val="11"/>
        <color rgb="FF000000"/>
        <rFont val="Calibri"/>
      </rPr>
      <t>This does not apply to the reset port configuration on disconnect policy.</t>
    </r>
    <r>
      <rPr>
        <sz val="11"/>
        <color rgb="FF000000"/>
        <rFont val="Calibri"/>
      </rPr>
      <t xml:space="preserve">
</t>
    </r>
    <r>
      <rPr>
        <sz val="11"/>
        <color rgb="FF000000"/>
        <rFont val="Calibri"/>
      </rPr>
      <t>If any port level overrides are enabled and not documented, this is a finding.</t>
    </r>
  </si>
  <si>
    <t>V-216840</t>
  </si>
  <si>
    <r>
      <rPr>
        <sz val="11"/>
        <rFont val="Calibri"/>
      </rPr>
      <t>The vCenter Server for Windows must configure all port groups to a value other than that of the native VLAN.</t>
    </r>
  </si>
  <si>
    <r>
      <rPr>
        <sz val="11"/>
        <color rgb="FF000000"/>
        <rFont val="Calibri"/>
      </rPr>
      <t>From the vSphere Web Client go to Networking &gt;&gt; Select a distributed switch &gt;&gt; Select a distributed port group &gt;&gt; Configure &gt;&gt; Settings &gt;&gt; Policies. Click "Edit" and under the VLAN section change the VLAN ID to a non-native VLAN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"portgroup name" | Set-VDVlanConfiguration -VlanId "New VLAN#"</t>
    </r>
  </si>
  <si>
    <r>
      <rPr>
        <sz val="11"/>
        <color rgb="FF000000"/>
        <rFont val="Calibri"/>
      </rPr>
      <t xml:space="preserve">From the vSphere Web Client go to Networking &gt;&gt; Select a distributed switch &gt;&gt; Select a distributed port group &gt;&gt; Configure &gt;&gt; Settings &gt;&gt; Policies. </t>
    </r>
    <r>
      <rPr>
        <sz val="11"/>
        <color rgb="FF000000"/>
        <rFont val="Calibri"/>
      </rPr>
      <t xml:space="preserve">
</t>
    </r>
    <r>
      <rPr>
        <sz val="11"/>
        <color rgb="FF000000"/>
        <rFont val="Calibri"/>
      </rPr>
      <t>Review the port group VLAN tags and verify they are not set to the native VLAN ID of the attached physical switch.</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select Name, VlanConfiguration</t>
    </r>
    <r>
      <rPr>
        <sz val="11"/>
        <color rgb="FF000000"/>
        <rFont val="Calibri"/>
      </rPr>
      <t xml:space="preserve">
</t>
    </r>
    <r>
      <rPr>
        <sz val="11"/>
        <color rgb="FF000000"/>
        <rFont val="Calibri"/>
      </rPr>
      <t>If any port group is configured with the native VLAN of the ESXi hosts attached physical switch, this is a finding.</t>
    </r>
  </si>
  <si>
    <t>V-216841</t>
  </si>
  <si>
    <r>
      <rPr>
        <sz val="11"/>
        <rFont val="Calibri"/>
      </rPr>
      <t>The vCenter Server for Windows must configure all port groups to VLAN 4095 unless Virtual Guest Tagging (VGT) is required.</t>
    </r>
  </si>
  <si>
    <r>
      <rPr>
        <sz val="11"/>
        <color rgb="FF000000"/>
        <rFont val="Calibri"/>
      </rPr>
      <t>From the vSphere Web Client go to Networking &gt;&gt; Select a distributed switch &gt;&gt; Select a distributed port group &gt;&gt; Configure &gt;&gt; Settings &gt;&gt; Policies. Click "Edit" and under the VLAN section change the VLAN ID to an appropriate VLAN ID other than "4095"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"portgroup name" | Set-VDVlanConfiguration -VlanId "New VLAN#"</t>
    </r>
  </si>
  <si>
    <r>
      <rPr>
        <sz val="11"/>
        <color rgb="FF000000"/>
        <rFont val="Calibri"/>
      </rPr>
      <t xml:space="preserve">From the vSphere Web Client go to Networking &gt;&gt; Select a distributed switch &gt;&gt; Select a distributed port group &gt;&gt; Configure &gt;&gt; Settings &gt;&gt; Policies. </t>
    </r>
    <r>
      <rPr>
        <sz val="11"/>
        <color rgb="FF000000"/>
        <rFont val="Calibri"/>
      </rPr>
      <t xml:space="preserve">
</t>
    </r>
    <r>
      <rPr>
        <sz val="11"/>
        <color rgb="FF000000"/>
        <rFont val="Calibri"/>
      </rPr>
      <t>Review the port group VLAN tags and verify they are not set to 4095.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select Name, VlanConfiguration</t>
    </r>
    <r>
      <rPr>
        <sz val="11"/>
        <color rgb="FF000000"/>
        <rFont val="Calibri"/>
      </rPr>
      <t xml:space="preserve">
</t>
    </r>
    <r>
      <rPr>
        <sz val="11"/>
        <color rgb="FF000000"/>
        <rFont val="Calibri"/>
      </rPr>
      <t>If any port group is configured with VLAN 4095 and is not documented as a needed exception, this is a finding.</t>
    </r>
  </si>
  <si>
    <t>V-216842</t>
  </si>
  <si>
    <r>
      <rPr>
        <sz val="11"/>
        <rFont val="Calibri"/>
      </rPr>
      <t>The vCenter Server for Windows must not configure all port groups to VLAN values reserved by upstream physical switches.</t>
    </r>
  </si>
  <si>
    <r>
      <rPr>
        <sz val="11"/>
        <color rgb="FF000000"/>
        <rFont val="Calibri"/>
      </rPr>
      <t>From the vSphere Web Client go to Networking &gt;&gt; Select a distributed switch &gt;&gt; Select a distributed port group &gt;&gt; Configure &gt;&gt; Settings &gt;&gt; Policies. Click "Edit" and under the VLAN section and change the VLAN ID to an unreserved VLAN ID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"portgroup name" | Set-VDVlanConfiguration -VlanId "New VLAN#"</t>
    </r>
  </si>
  <si>
    <r>
      <rPr>
        <sz val="11"/>
        <color rgb="FF000000"/>
        <rFont val="Calibri"/>
      </rPr>
      <t xml:space="preserve">From the vSphere Web Client go to Networking &gt;&gt; Select a distributed switch &gt;&gt; Select a distributed port group &gt;&gt; Configure &gt;&gt; Settings &gt;&gt; Policies. </t>
    </r>
    <r>
      <rPr>
        <sz val="11"/>
        <color rgb="FF000000"/>
        <rFont val="Calibri"/>
      </rPr>
      <t xml:space="preserve">
</t>
    </r>
    <r>
      <rPr>
        <sz val="11"/>
        <color rgb="FF000000"/>
        <rFont val="Calibri"/>
      </rPr>
      <t>Review the port group VLAN tags and verify they are not set to a reserved VLAN ID.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select Name, VlanConfiguration</t>
    </r>
    <r>
      <rPr>
        <sz val="11"/>
        <color rgb="FF000000"/>
        <rFont val="Calibri"/>
      </rPr>
      <t xml:space="preserve">
</t>
    </r>
    <r>
      <rPr>
        <sz val="11"/>
        <color rgb="FF000000"/>
        <rFont val="Calibri"/>
      </rPr>
      <t>If any port group is configured with a reserved VLAN ID, this is a finding.</t>
    </r>
  </si>
  <si>
    <t>V-216843</t>
  </si>
  <si>
    <r>
      <rPr>
        <sz val="11"/>
        <rFont val="Calibri"/>
      </rPr>
      <t>The vCenter Server for Windows must enable SSL for Network File Copy (NFC).</t>
    </r>
  </si>
  <si>
    <r>
      <rPr>
        <sz val="11"/>
        <color rgb="FF000000"/>
        <rFont val="Calibri"/>
      </rPr>
      <t>From the vSphere Web Client go to vCenter Inventory Lists &gt;&gt; vCenter Servers &gt;&gt; Select your vCenter Server &gt;&gt; Manage &gt;&gt; Settings &gt;&gt; Advanced Settings.  Click "Edit" and edit the "config.nfc.useSSL" value to "true" or if the value does not exist create it by entering the values in the "Key" and "Value" fields and clicking "Add".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If the setting already exists:</t>
    </r>
    <r>
      <rPr>
        <sz val="11"/>
        <color rgb="FF000000"/>
        <rFont val="Calibri"/>
      </rPr>
      <t xml:space="preserve">
</t>
    </r>
    <r>
      <rPr>
        <sz val="11"/>
        <color rgb="FF000000"/>
        <rFont val="Calibri"/>
      </rPr>
      <t>Get-AdvancedSetting -Entity &lt;vcenter server name&gt; -Name config.nfc.useSSL | Set-AdvancedSetting -Value true</t>
    </r>
    <r>
      <rPr>
        <sz val="11"/>
        <color rgb="FF000000"/>
        <rFont val="Calibri"/>
      </rPr>
      <t xml:space="preserve">
</t>
    </r>
    <r>
      <rPr>
        <sz val="11"/>
        <color rgb="FF000000"/>
        <rFont val="Calibri"/>
      </rPr>
      <t>If the setting does not exist:</t>
    </r>
    <r>
      <rPr>
        <sz val="11"/>
        <color rgb="FF000000"/>
        <rFont val="Calibri"/>
      </rPr>
      <t xml:space="preserve">
</t>
    </r>
    <r>
      <rPr>
        <sz val="11"/>
        <color rgb="FF000000"/>
        <rFont val="Calibri"/>
      </rPr>
      <t>New-AdvancedSetting -Entity &lt;vcenter server name&gt; -Name config.nfc.useSSL -Value true</t>
    </r>
  </si>
  <si>
    <r>
      <rPr>
        <sz val="11"/>
        <color rgb="FF000000"/>
        <rFont val="Calibri"/>
      </rPr>
      <t>NFC is the mechanism used to migrate or clone a VM between two ESXi hosts over the network. By default, NFC over SSL is enabled (i.e., "True") within a vSphere cluster but the value of the setting is null. Clients check the value of the setting and default to not using SSL for performance reasons if the value is null. This behavior can be changed by ensuring the setting has been explicitly created and set to "True". This will force clients to use SSL. Without this setting VM contents could potentially be sniffed if the management network is not adequately isolated and secured.</t>
    </r>
  </si>
  <si>
    <r>
      <rPr>
        <sz val="11"/>
        <color rgb="FF000000"/>
        <rFont val="Calibri"/>
      </rPr>
      <t xml:space="preserve">From the vSphere Web Client go to vCenter Inventory Lists &gt;&gt; vCenter Servers &gt;&gt; Select your vCenter Server &gt;&gt; Manage &gt;&gt; Settings &gt;&gt; Advanced Settings.  </t>
    </r>
    <r>
      <rPr>
        <sz val="11"/>
        <color rgb="FF000000"/>
        <rFont val="Calibri"/>
      </rPr>
      <t xml:space="preserve">
</t>
    </r>
    <r>
      <rPr>
        <sz val="11"/>
        <color rgb="FF000000"/>
        <rFont val="Calibri"/>
      </rPr>
      <t>Verify that config.nfc.useSSL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config.nfc.useSSL</t>
    </r>
    <r>
      <rPr>
        <sz val="11"/>
        <color rgb="FF000000"/>
        <rFont val="Calibri"/>
      </rPr>
      <t xml:space="preserve">
</t>
    </r>
    <r>
      <rPr>
        <sz val="11"/>
        <color rgb="FF000000"/>
        <rFont val="Calibri"/>
      </rPr>
      <t>Verify "config.nfc.useSSL" is set to "true".</t>
    </r>
    <r>
      <rPr>
        <sz val="11"/>
        <color rgb="FF000000"/>
        <rFont val="Calibri"/>
      </rPr>
      <t xml:space="preserve">
</t>
    </r>
    <r>
      <rPr>
        <sz val="11"/>
        <color rgb="FF000000"/>
        <rFont val="Calibri"/>
      </rPr>
      <t>If the "config.nfc.useSSL" is set to a value other than "true" or does not exist, this is a finding.</t>
    </r>
  </si>
  <si>
    <t>V-216844</t>
  </si>
  <si>
    <r>
      <rPr>
        <sz val="11"/>
        <rFont val="Calibri"/>
      </rPr>
      <t>The vCenter Server for Windows services must be ran using a service account instead of a built-in Windows account.</t>
    </r>
  </si>
  <si>
    <r>
      <rPr>
        <sz val="11"/>
        <color rgb="FF000000"/>
        <rFont val="Calibri"/>
      </rPr>
      <t>For each of the following services open the services console on the vCenter server and right-click, select "Properties" on the service.  Go to the "Log On" tab and configure the service to run as a service account and restart the service.</t>
    </r>
    <r>
      <rPr>
        <sz val="11"/>
        <color rgb="FF000000"/>
        <rFont val="Calibri"/>
      </rPr>
      <t xml:space="preserve">
</t>
    </r>
    <r>
      <rPr>
        <sz val="11"/>
        <color rgb="FF000000"/>
        <rFont val="Calibri"/>
      </rPr>
      <t>VMware Content Library Service</t>
    </r>
    <r>
      <rPr>
        <sz val="11"/>
        <color rgb="FF000000"/>
        <rFont val="Calibri"/>
      </rPr>
      <t xml:space="preserve">
</t>
    </r>
    <r>
      <rPr>
        <sz val="11"/>
        <color rgb="FF000000"/>
        <rFont val="Calibri"/>
      </rPr>
      <t>VMware Inventory Service</t>
    </r>
    <r>
      <rPr>
        <sz val="11"/>
        <color rgb="FF000000"/>
        <rFont val="Calibri"/>
      </rPr>
      <t xml:space="preserve">
</t>
    </r>
    <r>
      <rPr>
        <sz val="11"/>
        <color rgb="FF000000"/>
        <rFont val="Calibri"/>
      </rPr>
      <t>VMware Performance Charts</t>
    </r>
    <r>
      <rPr>
        <sz val="11"/>
        <color rgb="FF000000"/>
        <rFont val="Calibri"/>
      </rPr>
      <t xml:space="preserve">
</t>
    </r>
    <r>
      <rPr>
        <sz val="11"/>
        <color rgb="FF000000"/>
        <rFont val="Calibri"/>
      </rPr>
      <t>VMware VirtualCenter Server</t>
    </r>
  </si>
  <si>
    <r>
      <rPr>
        <sz val="11"/>
        <color rgb="FF000000"/>
        <rFont val="Calibri"/>
      </rPr>
      <t>You can use the Microsoft Windows built-in system account or a domain user account to run vCenter Server.  The Microsoft Windows built-in system account has more permissions and rights on the server than the vCenter Server system requires, which can contribute to security problems. With a domain user account, you can enable Windows authentication for SQL Server; it also allows more granular security and logging. The installing account only needs to be a member of the Administrators group, and have permission to act as part of the operating system and log on as a service. If you are using SQL Server for the vCenter database, you must configure the SQL Server database to allow the domain account access to SQL Server.</t>
    </r>
  </si>
  <si>
    <r>
      <rPr>
        <sz val="11"/>
        <color rgb="FF000000"/>
        <rFont val="Calibri"/>
      </rPr>
      <t>This control only applies to Windows based vCenter installations.</t>
    </r>
    <r>
      <rPr>
        <sz val="11"/>
        <color rgb="FF000000"/>
        <rFont val="Calibri"/>
      </rPr>
      <t xml:space="preserve">
</t>
    </r>
    <r>
      <rPr>
        <sz val="11"/>
        <color rgb="FF000000"/>
        <rFont val="Calibri"/>
      </rPr>
      <t>The following services should be set to run as a service account:</t>
    </r>
    <r>
      <rPr>
        <sz val="11"/>
        <color rgb="FF000000"/>
        <rFont val="Calibri"/>
      </rPr>
      <t xml:space="preserve">
</t>
    </r>
    <r>
      <rPr>
        <sz val="11"/>
        <color rgb="FF000000"/>
        <rFont val="Calibri"/>
      </rPr>
      <t>VMware Content Library Service</t>
    </r>
    <r>
      <rPr>
        <sz val="11"/>
        <color rgb="FF000000"/>
        <rFont val="Calibri"/>
      </rPr>
      <t xml:space="preserve">
</t>
    </r>
    <r>
      <rPr>
        <sz val="11"/>
        <color rgb="FF000000"/>
        <rFont val="Calibri"/>
      </rPr>
      <t>VMware Inventory Service</t>
    </r>
    <r>
      <rPr>
        <sz val="11"/>
        <color rgb="FF000000"/>
        <rFont val="Calibri"/>
      </rPr>
      <t xml:space="preserve">
</t>
    </r>
    <r>
      <rPr>
        <sz val="11"/>
        <color rgb="FF000000"/>
        <rFont val="Calibri"/>
      </rPr>
      <t>VMware Performance Charts</t>
    </r>
    <r>
      <rPr>
        <sz val="11"/>
        <color rgb="FF000000"/>
        <rFont val="Calibri"/>
      </rPr>
      <t xml:space="preserve">
</t>
    </r>
    <r>
      <rPr>
        <sz val="11"/>
        <color rgb="FF000000"/>
        <rFont val="Calibri"/>
      </rPr>
      <t>VMware VirtualCenter Server</t>
    </r>
    <r>
      <rPr>
        <sz val="11"/>
        <color rgb="FF000000"/>
        <rFont val="Calibri"/>
      </rPr>
      <t xml:space="preserve">
</t>
    </r>
    <r>
      <rPr>
        <sz val="11"/>
        <color rgb="FF000000"/>
        <rFont val="Calibri"/>
      </rPr>
      <t>vCenter should be installed using the service account as that will configure the services appropriately.</t>
    </r>
    <r>
      <rPr>
        <sz val="11"/>
        <color rgb="FF000000"/>
        <rFont val="Calibri"/>
      </rPr>
      <t xml:space="preserve">
</t>
    </r>
    <r>
      <rPr>
        <sz val="11"/>
        <color rgb="FF000000"/>
        <rFont val="Calibri"/>
      </rPr>
      <t>If vCenter is not installed with a service account, this is a finding.</t>
    </r>
    <r>
      <rPr>
        <sz val="11"/>
        <color rgb="FF000000"/>
        <rFont val="Calibri"/>
      </rPr>
      <t xml:space="preserve">
</t>
    </r>
    <r>
      <rPr>
        <sz val="11"/>
        <color rgb="FF000000"/>
        <rFont val="Calibri"/>
      </rPr>
      <t>If the services identified in this control are not running as a service account, this is a finding.</t>
    </r>
  </si>
  <si>
    <t>V-216845</t>
  </si>
  <si>
    <r>
      <rPr>
        <sz val="11"/>
        <rFont val="Calibri"/>
      </rPr>
      <t>The vCenter Server for Windows must configure the vpxuser auto-password to be changed every 30 days.</t>
    </r>
  </si>
  <si>
    <r>
      <rPr>
        <sz val="11"/>
        <color rgb="FF000000"/>
        <rFont val="Calibri"/>
      </rPr>
      <t>Select the vCenter Server in the vSphere Web Client object hierarchy.</t>
    </r>
    <r>
      <rPr>
        <sz val="11"/>
        <color rgb="FF000000"/>
        <rFont val="Calibri"/>
      </rPr>
      <t xml:space="preserve">
</t>
    </r>
    <r>
      <rPr>
        <sz val="11"/>
        <color rgb="FF000000"/>
        <rFont val="Calibri"/>
      </rPr>
      <t>Click Configure.</t>
    </r>
    <r>
      <rPr>
        <sz val="11"/>
        <color rgb="FF000000"/>
        <rFont val="Calibri"/>
      </rPr>
      <t xml:space="preserve">
</t>
    </r>
    <r>
      <rPr>
        <sz val="11"/>
        <color rgb="FF000000"/>
        <rFont val="Calibri"/>
      </rPr>
      <t>Click Advanced Settings and enter VimPasswordExpirationInDays in the filter box.</t>
    </r>
    <r>
      <rPr>
        <sz val="11"/>
        <color rgb="FF000000"/>
        <rFont val="Calibri"/>
      </rPr>
      <t xml:space="preserve">
</t>
    </r>
    <r>
      <rPr>
        <sz val="11"/>
        <color rgb="FF000000"/>
        <rFont val="Calibri"/>
      </rPr>
      <t>Set "VirtualCenter.VimPasswordExpirationInDays" to "30".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If the setting already exists:</t>
    </r>
    <r>
      <rPr>
        <sz val="11"/>
        <color rgb="FF000000"/>
        <rFont val="Calibri"/>
      </rPr>
      <t xml:space="preserve">
</t>
    </r>
    <r>
      <rPr>
        <sz val="11"/>
        <color rgb="FF000000"/>
        <rFont val="Calibri"/>
      </rPr>
      <t>Get-AdvancedSetting -Entity &lt;vcenter server name&gt; -Name VirtualCenter.VimPasswordExpirationInDays | Set-AdvancedSetting -Value 30</t>
    </r>
    <r>
      <rPr>
        <sz val="11"/>
        <color rgb="FF000000"/>
        <rFont val="Calibri"/>
      </rPr>
      <t xml:space="preserve">
</t>
    </r>
    <r>
      <rPr>
        <sz val="11"/>
        <color rgb="FF000000"/>
        <rFont val="Calibri"/>
      </rPr>
      <t>If the setting does not exist:</t>
    </r>
    <r>
      <rPr>
        <sz val="11"/>
        <color rgb="FF000000"/>
        <rFont val="Calibri"/>
      </rPr>
      <t xml:space="preserve">
</t>
    </r>
    <r>
      <rPr>
        <sz val="11"/>
        <color rgb="FF000000"/>
        <rFont val="Calibri"/>
      </rPr>
      <t>New-AdvancedSetting -Entity &lt;vcenter server name&gt; -Name VirtualCenter.VimPasswordExpirationInDays -Value 30</t>
    </r>
  </si>
  <si>
    <r>
      <rPr>
        <sz val="11"/>
        <color rgb="FF000000"/>
        <rFont val="Calibri"/>
      </rPr>
      <t xml:space="preserve">By default, the vpxuser password will be automatically changed by vCenter every 30 days. Ensure this setting meets your policies; if not, configure to meet password aging policies. </t>
    </r>
    <r>
      <rPr>
        <sz val="11"/>
        <color rgb="FF000000"/>
        <rFont val="Calibri"/>
      </rPr>
      <t xml:space="preserve">
</t>
    </r>
    <r>
      <rPr>
        <sz val="11"/>
        <color rgb="FF000000"/>
        <rFont val="Calibri"/>
      </rPr>
      <t>Note: It is very important the password aging policy not be shorter than the default interval that is set to automatically change the vpxuser password, to preclude the possibility that vCenter might get locked out of an ESXi host.</t>
    </r>
  </si>
  <si>
    <r>
      <rPr>
        <sz val="11"/>
        <color rgb="FF000000"/>
        <rFont val="Calibri"/>
      </rPr>
      <t>Select the vCenter Server in the vSphere Web Client object hierarchy.</t>
    </r>
    <r>
      <rPr>
        <sz val="11"/>
        <color rgb="FF000000"/>
        <rFont val="Calibri"/>
      </rPr>
      <t xml:space="preserve">
</t>
    </r>
    <r>
      <rPr>
        <sz val="11"/>
        <color rgb="FF000000"/>
        <rFont val="Calibri"/>
      </rPr>
      <t>Click Configure.</t>
    </r>
    <r>
      <rPr>
        <sz val="11"/>
        <color rgb="FF000000"/>
        <rFont val="Calibri"/>
      </rPr>
      <t xml:space="preserve">
</t>
    </r>
    <r>
      <rPr>
        <sz val="11"/>
        <color rgb="FF000000"/>
        <rFont val="Calibri"/>
      </rPr>
      <t>Click Advanced Settings and enter VimPasswordExpirationInDays in the filter box.</t>
    </r>
    <r>
      <rPr>
        <sz val="11"/>
        <color rgb="FF000000"/>
        <rFont val="Calibri"/>
      </rPr>
      <t xml:space="preserve">
</t>
    </r>
    <r>
      <rPr>
        <sz val="11"/>
        <color rgb="FF000000"/>
        <rFont val="Calibri"/>
      </rPr>
      <t>Verify "VirtualCenter.VimPasswordExpirationInDays" is set to "30".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VirtualCenter.VimPasswordExpirationInDays and verify it is set to 30.</t>
    </r>
    <r>
      <rPr>
        <sz val="11"/>
        <color rgb="FF000000"/>
        <rFont val="Calibri"/>
      </rPr>
      <t xml:space="preserve">
</t>
    </r>
    <r>
      <rPr>
        <sz val="11"/>
        <color rgb="FF000000"/>
        <rFont val="Calibri"/>
      </rPr>
      <t>If the "VirtualCenter.VimPasswordExpirationInDays" is set to a value other than "30" or does not exist, this is a finding.</t>
    </r>
  </si>
  <si>
    <t>V-216846</t>
  </si>
  <si>
    <r>
      <rPr>
        <sz val="11"/>
        <rFont val="Calibri"/>
      </rPr>
      <t>The vCenter Server for Windows must configure the vpxuser password meets length policy.</t>
    </r>
  </si>
  <si>
    <r>
      <rPr>
        <sz val="11"/>
        <color rgb="FF000000"/>
        <rFont val="Calibri"/>
      </rPr>
      <t>From the vSphere Web Client go to Host and Clusters &gt;&gt; Select a vCenter Server &gt;&gt; Configure &gt;&gt; Settings &gt;&gt; Advanced Settings. Click "Edit" and edit the "config.vpxd.hostPasswordLength" value to "32" or if the value does not exist create it by entering the values in the "Key" and "Value" fields and clicking "Add".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If the setting already exists:</t>
    </r>
    <r>
      <rPr>
        <sz val="11"/>
        <color rgb="FF000000"/>
        <rFont val="Calibri"/>
      </rPr>
      <t xml:space="preserve">
</t>
    </r>
    <r>
      <rPr>
        <sz val="11"/>
        <color rgb="FF000000"/>
        <rFont val="Calibri"/>
      </rPr>
      <t>Get-AdvancedSetting -Entity &lt;vcenter server name&gt; -Name config.vpxd.hostPasswordLength | Set-AdvancedSetting -Value 32</t>
    </r>
    <r>
      <rPr>
        <sz val="11"/>
        <color rgb="FF000000"/>
        <rFont val="Calibri"/>
      </rPr>
      <t xml:space="preserve">
</t>
    </r>
    <r>
      <rPr>
        <sz val="11"/>
        <color rgb="FF000000"/>
        <rFont val="Calibri"/>
      </rPr>
      <t>If the setting does not exist:</t>
    </r>
    <r>
      <rPr>
        <sz val="11"/>
        <color rgb="FF000000"/>
        <rFont val="Calibri"/>
      </rPr>
      <t xml:space="preserve">
</t>
    </r>
    <r>
      <rPr>
        <sz val="11"/>
        <color rgb="FF000000"/>
        <rFont val="Calibri"/>
      </rPr>
      <t>New-AdvancedSetting -Entity &lt;vcenter server name&gt; -Name config.vpxd.hostPasswordLength -Value 32</t>
    </r>
  </si>
  <si>
    <r>
      <rPr>
        <sz val="11"/>
        <color rgb="FF000000"/>
        <rFont val="Calibri"/>
      </rPr>
      <t>The vpxuser password default length is 32 characters. Ensure this setting meets site policies; if not, configure to meet password length policies. Longer passwords make brute-force password attacks more difficult. The vpxuser password is added by vCenter, meaning no manual intervention is normally required. The vpxuser password length must never be modified to less than the default length of 32 characters.</t>
    </r>
  </si>
  <si>
    <r>
      <rPr>
        <sz val="11"/>
        <color rgb="FF000000"/>
        <rFont val="Calibri"/>
      </rPr>
      <t xml:space="preserve">From the vSphere Web Client go to Host and Clusters &gt;&gt; Select a vCenter Server &gt;&gt; Configure &gt;&gt; Settings &gt;&gt; Advanced Settings. </t>
    </r>
    <r>
      <rPr>
        <sz val="11"/>
        <color rgb="FF000000"/>
        <rFont val="Calibri"/>
      </rPr>
      <t xml:space="preserve">
</t>
    </r>
    <r>
      <rPr>
        <sz val="11"/>
        <color rgb="FF000000"/>
        <rFont val="Calibri"/>
      </rPr>
      <t>Verify that "config.vpxd.hostPasswordLength" is set to "32".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config.vpxd.hostPasswordLength and verify it is set to 32.</t>
    </r>
    <r>
      <rPr>
        <sz val="11"/>
        <color rgb="FF000000"/>
        <rFont val="Calibri"/>
      </rPr>
      <t xml:space="preserve">
</t>
    </r>
    <r>
      <rPr>
        <sz val="11"/>
        <color rgb="FF000000"/>
        <rFont val="Calibri"/>
      </rPr>
      <t>If the "config.vpxd.hostPasswordLength" is set to a value other than "32" or does not exist, this is a finding.</t>
    </r>
  </si>
  <si>
    <t>V-216847</t>
  </si>
  <si>
    <r>
      <rPr>
        <sz val="11"/>
        <rFont val="Calibri"/>
      </rPr>
      <t>The vCenter Server for Windows must disable the managed object browser at all times, when not required for the purpose of troubleshooting or maintenance of managed objects.</t>
    </r>
  </si>
  <si>
    <r>
      <rPr>
        <sz val="11"/>
        <color rgb="FF000000"/>
        <rFont val="Calibri"/>
      </rPr>
      <t>If the datastore browser is enabled and required for object maintenance, no fix is immediately required.</t>
    </r>
    <r>
      <rPr>
        <sz val="11"/>
        <color rgb="FF000000"/>
        <rFont val="Calibri"/>
      </rPr>
      <t xml:space="preserve">
</t>
    </r>
    <r>
      <rPr>
        <sz val="11"/>
        <color rgb="FF000000"/>
        <rFont val="Calibri"/>
      </rPr>
      <t>Disable the managed object browser:</t>
    </r>
    <r>
      <rPr>
        <sz val="11"/>
        <color rgb="FF000000"/>
        <rFont val="Calibri"/>
      </rPr>
      <t xml:space="preserve">
</t>
    </r>
    <r>
      <rPr>
        <sz val="11"/>
        <color rgb="FF000000"/>
        <rFont val="Calibri"/>
      </rPr>
      <t>Determine the location of the vpxd.cfg file on the Windows host.</t>
    </r>
    <r>
      <rPr>
        <sz val="11"/>
        <color rgb="FF000000"/>
        <rFont val="Calibri"/>
      </rPr>
      <t xml:space="preserve">
</t>
    </r>
    <r>
      <rPr>
        <sz val="11"/>
        <color rgb="FF000000"/>
        <rFont val="Calibri"/>
      </rPr>
      <t>Edit the file and locate the &lt;vpxd&gt; ... &lt;/vpxd&gt; element.</t>
    </r>
    <r>
      <rPr>
        <sz val="11"/>
        <color rgb="FF000000"/>
        <rFont val="Calibri"/>
      </rPr>
      <t xml:space="preserve">
</t>
    </r>
    <r>
      <rPr>
        <sz val="11"/>
        <color rgb="FF000000"/>
        <rFont val="Calibri"/>
      </rPr>
      <t xml:space="preserve">Ensure the following element is set. &lt;enableDebugBrowse&gt;false&lt;/enableDebugBrowse&gt; </t>
    </r>
    <r>
      <rPr>
        <sz val="11"/>
        <color rgb="FF000000"/>
        <rFont val="Calibri"/>
      </rPr>
      <t xml:space="preserve">
</t>
    </r>
    <r>
      <rPr>
        <sz val="11"/>
        <color rgb="FF000000"/>
        <rFont val="Calibri"/>
      </rPr>
      <t>Restart the vCenter Service to ensure the configuration file change(s) are in effect.</t>
    </r>
  </si>
  <si>
    <r>
      <rPr>
        <sz val="11"/>
        <color rgb="FF000000"/>
        <rFont val="Calibri"/>
      </rPr>
      <t>The managed object browser provides a way to explore the object model used by the vCenter to manage the vSphere environment; it enables configurations to be changed as well. This interface is used primarily for debugging, and might potentially be used to perform malicious configuration changes or actions.</t>
    </r>
  </si>
  <si>
    <r>
      <rPr>
        <sz val="11"/>
        <color rgb="FF000000"/>
        <rFont val="Calibri"/>
      </rPr>
      <t xml:space="preserve">The Managed Object Browser (MOB) was designed to be used by SDK developers to assist in the development, programming, and debugging of objects. It is an inventory object, full-access interface, allowing attackers to determine the inventory path of an infrastructure's managed entities. </t>
    </r>
    <r>
      <rPr>
        <sz val="11"/>
        <color rgb="FF000000"/>
        <rFont val="Calibri"/>
      </rPr>
      <t xml:space="preserve">
</t>
    </r>
    <r>
      <rPr>
        <sz val="11"/>
        <color rgb="FF000000"/>
        <rFont val="Calibri"/>
      </rPr>
      <t>Check the operational status of the MOB:</t>
    </r>
    <r>
      <rPr>
        <sz val="11"/>
        <color rgb="FF000000"/>
        <rFont val="Calibri"/>
      </rPr>
      <t xml:space="preserve">
</t>
    </r>
    <r>
      <rPr>
        <sz val="11"/>
        <color rgb="FF000000"/>
        <rFont val="Calibri"/>
      </rPr>
      <t>Determine the location of the vpxd.cfg file on the vCenter Server's Windows OS host.</t>
    </r>
    <r>
      <rPr>
        <sz val="11"/>
        <color rgb="FF000000"/>
        <rFont val="Calibri"/>
      </rPr>
      <t xml:space="preserve">
</t>
    </r>
    <r>
      <rPr>
        <sz val="11"/>
        <color rgb="FF000000"/>
        <rFont val="Calibri"/>
      </rPr>
      <t>Edit the file and locate the &lt;vpxd&gt; ... &lt;/vpxd&gt; element.</t>
    </r>
    <r>
      <rPr>
        <sz val="11"/>
        <color rgb="FF000000"/>
        <rFont val="Calibri"/>
      </rPr>
      <t xml:space="preserve">
</t>
    </r>
    <r>
      <rPr>
        <sz val="11"/>
        <color rgb="FF000000"/>
        <rFont val="Calibri"/>
      </rPr>
      <t xml:space="preserve">Ensure the following element is set. &lt;enableDebugBrowse&gt;false&lt;/enableDebugBrowse&gt; </t>
    </r>
    <r>
      <rPr>
        <sz val="11"/>
        <color rgb="FF000000"/>
        <rFont val="Calibri"/>
      </rPr>
      <t xml:space="preserve">
</t>
    </r>
    <r>
      <rPr>
        <sz val="11"/>
        <color rgb="FF000000"/>
        <rFont val="Calibri"/>
      </rPr>
      <t xml:space="preserve">If the MOB is currently enabled, ask the SA if it is being used for object maintenance. </t>
    </r>
    <r>
      <rPr>
        <sz val="11"/>
        <color rgb="FF000000"/>
        <rFont val="Calibri"/>
      </rPr>
      <t xml:space="preserve">
</t>
    </r>
    <r>
      <rPr>
        <sz val="11"/>
        <color rgb="FF000000"/>
        <rFont val="Calibri"/>
      </rPr>
      <t>If the "enableDebugBrowse" element is enabled (set to true), and object maintenance is not being performed, this is a finding.</t>
    </r>
  </si>
  <si>
    <t>V-216848</t>
  </si>
  <si>
    <r>
      <rPr>
        <sz val="11"/>
        <rFont val="Calibri"/>
      </rPr>
      <t>The vCenter Server for Windows must check the privilege re-assignment after restarts.</t>
    </r>
  </si>
  <si>
    <r>
      <rPr>
        <sz val="11"/>
        <color rgb="FF000000"/>
        <rFont val="Calibri"/>
      </rPr>
      <t>As the SSO Administrator, log in to the vCenter Server and restore a legitimate administrator account per site-specific user/group/role requirements.</t>
    </r>
  </si>
  <si>
    <r>
      <rPr>
        <sz val="11"/>
        <color rgb="FF000000"/>
        <rFont val="Calibri"/>
      </rPr>
      <t>Check for privilege reassignment when you restart vCenter Server. If the user or user group that is assigned the Administrator role on the root folder cannot be verified as a valid user or group during a restart, the role is removed from that user or group. In its place, vCenter Server grants the Administrator role to the vCenter Single Sign-On account administrator@vsphere.local. This account can then act as the administrator.</t>
    </r>
    <r>
      <rPr>
        <sz val="11"/>
        <color rgb="FF000000"/>
        <rFont val="Calibri"/>
      </rPr>
      <t xml:space="preserve">
</t>
    </r>
    <r>
      <rPr>
        <sz val="11"/>
        <color rgb="FF000000"/>
        <rFont val="Calibri"/>
      </rPr>
      <t>Reestablish a named administrator account and assign the Administrator role to that account to avoid using the anonymous administrator@vsphere.local account.</t>
    </r>
  </si>
  <si>
    <r>
      <rPr>
        <sz val="11"/>
        <color rgb="FF000000"/>
        <rFont val="Calibri"/>
      </rPr>
      <t xml:space="preserve">After the Windows server hosting the vCenter Server has been rebooted, a vCenter Server user or member of the user group granted the administrator role must log in and verify the role permissions remain intact. </t>
    </r>
    <r>
      <rPr>
        <sz val="11"/>
        <color rgb="FF000000"/>
        <rFont val="Calibri"/>
      </rPr>
      <t xml:space="preserve">
</t>
    </r>
    <r>
      <rPr>
        <sz val="11"/>
        <color rgb="FF000000"/>
        <rFont val="Calibri"/>
      </rPr>
      <t>If the user and/or user group granted vCenter administrator role permissions cannot be verified as intact, this is a finding.</t>
    </r>
  </si>
  <si>
    <t>V-216849</t>
  </si>
  <si>
    <r>
      <rPr>
        <sz val="11"/>
        <rFont val="Calibri"/>
      </rPr>
      <t>The vCenter Server for Windows must minimize access to the vCenter server.</t>
    </r>
  </si>
  <si>
    <r>
      <rPr>
        <sz val="11"/>
        <color rgb="FF000000"/>
        <rFont val="Calibri"/>
      </rPr>
      <t>Remove all unnecessary users and/or groups from the local administrators group of the vCenter server.</t>
    </r>
  </si>
  <si>
    <r>
      <rPr>
        <sz val="11"/>
        <color rgb="FF000000"/>
        <rFont val="Calibri"/>
      </rPr>
      <t>After someone has logged in to the vCenter Server system, it becomes more difficult to prevent what they can do. In general, logging in to the vCenter Server system should be limited to very privileged administrators, and then only for the purpose of administering vCenter Server or the host OS. Anyone logged in to the vCenter Server can potentially cause harm, either intentionally or unintentionally, by altering settings and modifying processes. They also have potential access to vCenter credentials, such as the SSL certificate.</t>
    </r>
  </si>
  <si>
    <r>
      <rPr>
        <sz val="11"/>
        <color rgb="FF000000"/>
        <rFont val="Calibri"/>
      </rPr>
      <t>Login to the vCenter server and verify the only local administrators group contains users and/or groups that contain vCenter Administrators.</t>
    </r>
    <r>
      <rPr>
        <sz val="11"/>
        <color rgb="FF000000"/>
        <rFont val="Calibri"/>
      </rPr>
      <t xml:space="preserve">
</t>
    </r>
    <r>
      <rPr>
        <sz val="11"/>
        <color rgb="FF000000"/>
        <rFont val="Calibri"/>
      </rPr>
      <t>If the local administrators group contains users and/or groups that are not vCenter Administrators such as "Domain Admins", this is a finding.</t>
    </r>
  </si>
  <si>
    <t>V-216850</t>
  </si>
  <si>
    <r>
      <rPr>
        <sz val="11"/>
        <rFont val="Calibri"/>
      </rPr>
      <t>The vCenter Server for Windows Administrators must clean up log files after failed installations.</t>
    </r>
  </si>
  <si>
    <r>
      <rPr>
        <sz val="11"/>
        <color rgb="FF000000"/>
        <rFont val="Calibri"/>
      </rPr>
      <t>Develop a site policy for handling failed installation cleanup of the Windows host prior to deployment. Using the Windows host search function, determine the existence of any log files of format "hs_err_pid" and remove them.</t>
    </r>
  </si>
  <si>
    <r>
      <rPr>
        <sz val="11"/>
        <color rgb="FF000000"/>
        <rFont val="Calibri"/>
      </rPr>
      <t>In certain cases, if the vCenter installation fails, a log file (with a name of the form “hs_err_pidXXXX”) is created that contains the database password in plain text. An attacker who breaks into the vCenter Server could potentially steal this password and access the vCenter Database.</t>
    </r>
  </si>
  <si>
    <r>
      <rPr>
        <sz val="11"/>
        <color rgb="FF000000"/>
        <rFont val="Calibri"/>
      </rPr>
      <t>If at any time a vCenter Server installation fails, only the log files of format "hs_err_pid...." should be identified on the Windows host and deleted securely before putting the host into production. Determine if a site policy exists for handling failed installation cleanup of the Windows host prior to deployment. Using the Windows host search function, determine the existence of any log files of format "hs_err_pid".</t>
    </r>
    <r>
      <rPr>
        <sz val="11"/>
        <color rgb="FF000000"/>
        <rFont val="Calibri"/>
      </rPr>
      <t xml:space="preserve">
</t>
    </r>
    <r>
      <rPr>
        <sz val="11"/>
        <color rgb="FF000000"/>
        <rFont val="Calibri"/>
      </rPr>
      <t>If a file name of the format "hs_err_pid" is found, this is a finding.</t>
    </r>
    <r>
      <rPr>
        <sz val="11"/>
        <color rgb="FF000000"/>
        <rFont val="Calibri"/>
      </rPr>
      <t xml:space="preserve">
</t>
    </r>
    <r>
      <rPr>
        <sz val="11"/>
        <color rgb="FF000000"/>
        <rFont val="Calibri"/>
      </rPr>
      <t>If a site policy does not exist and/or is not followed, this is a finding.</t>
    </r>
  </si>
  <si>
    <t>V-216851</t>
  </si>
  <si>
    <r>
      <rPr>
        <sz val="11"/>
        <rFont val="Calibri"/>
      </rPr>
      <t>The vCenter Server for Windows must enable all tasks to be shown to Administrators in the Web Client.</t>
    </r>
  </si>
  <si>
    <r>
      <rPr>
        <sz val="11"/>
        <color rgb="FF000000"/>
        <rFont val="Calibri"/>
      </rPr>
      <t>Edit the "webclient.properties" file to set the "show.allusers.tasks" value to "true".</t>
    </r>
    <r>
      <rPr>
        <sz val="11"/>
        <color rgb="FF000000"/>
        <rFont val="Calibri"/>
      </rPr>
      <t xml:space="preserve">
</t>
    </r>
    <r>
      <rPr>
        <sz val="11"/>
        <color rgb="FF000000"/>
        <rFont val="Calibri"/>
      </rPr>
      <t>The default location for the "webclient.properties" file are:</t>
    </r>
    <r>
      <rPr>
        <sz val="11"/>
        <color rgb="FF000000"/>
        <rFont val="Calibri"/>
      </rPr>
      <t xml:space="preserve">
</t>
    </r>
    <r>
      <rPr>
        <sz val="11"/>
        <color rgb="FF000000"/>
        <rFont val="Calibri"/>
      </rPr>
      <t xml:space="preserve">Appliance: </t>
    </r>
    <r>
      <rPr>
        <sz val="11"/>
        <color rgb="FF000000"/>
        <rFont val="Calibri"/>
      </rPr>
      <t xml:space="preserve">
</t>
    </r>
    <r>
      <rPr>
        <sz val="11"/>
        <color rgb="FF000000"/>
        <rFont val="Calibri"/>
      </rPr>
      <t xml:space="preserve">/etc/vmware/vsphere-client/ </t>
    </r>
    <r>
      <rPr>
        <sz val="11"/>
        <color rgb="FF000000"/>
        <rFont val="Calibri"/>
      </rPr>
      <t xml:space="preserve">
</t>
    </r>
    <r>
      <rPr>
        <sz val="11"/>
        <color rgb="FF000000"/>
        <rFont val="Calibri"/>
      </rPr>
      <t xml:space="preserve">Windows: </t>
    </r>
    <r>
      <rPr>
        <sz val="11"/>
        <color rgb="FF000000"/>
        <rFont val="Calibri"/>
      </rPr>
      <t xml:space="preserve">
</t>
    </r>
    <r>
      <rPr>
        <sz val="11"/>
        <color rgb="FF000000"/>
        <rFont val="Calibri"/>
      </rPr>
      <t>C:\ProgramData\VMware\vCenterServer\cfg\vsphere-client\</t>
    </r>
    <r>
      <rPr>
        <sz val="11"/>
        <color rgb="FF000000"/>
        <rFont val="Calibri"/>
      </rPr>
      <t xml:space="preserve">
</t>
    </r>
    <r>
      <rPr>
        <sz val="11"/>
        <color rgb="FF000000"/>
        <rFont val="Calibri"/>
      </rPr>
      <t>After editing the file the vSphere Web Client service will need to be restarted.</t>
    </r>
  </si>
  <si>
    <r>
      <rPr>
        <sz val="11"/>
        <color rgb="FF000000"/>
        <rFont val="Calibri"/>
      </rPr>
      <t>By default not all tasks are shown in the web client to administrators and only that user's tasks will be shown.  Enabling all tasks to be shown will allow the administrator to potentially see any malicious activity they may miss with the view disabled.</t>
    </r>
  </si>
  <si>
    <r>
      <rPr>
        <sz val="11"/>
        <color rgb="FF000000"/>
        <rFont val="Calibri"/>
      </rPr>
      <t>Verify the "webclient.properties" file contains the line "show.allusers.tasks = true".</t>
    </r>
    <r>
      <rPr>
        <sz val="11"/>
        <color rgb="FF000000"/>
        <rFont val="Calibri"/>
      </rPr>
      <t xml:space="preserve">
</t>
    </r>
    <r>
      <rPr>
        <sz val="11"/>
        <color rgb="FF000000"/>
        <rFont val="Calibri"/>
      </rPr>
      <t>The default location for the "webclient.properties" file are:</t>
    </r>
    <r>
      <rPr>
        <sz val="11"/>
        <color rgb="FF000000"/>
        <rFont val="Calibri"/>
      </rPr>
      <t xml:space="preserve">
</t>
    </r>
    <r>
      <rPr>
        <sz val="11"/>
        <color rgb="FF000000"/>
        <rFont val="Calibri"/>
      </rPr>
      <t xml:space="preserve">Appliance: </t>
    </r>
    <r>
      <rPr>
        <sz val="11"/>
        <color rgb="FF000000"/>
        <rFont val="Calibri"/>
      </rPr>
      <t xml:space="preserve">
</t>
    </r>
    <r>
      <rPr>
        <sz val="11"/>
        <color rgb="FF000000"/>
        <rFont val="Calibri"/>
      </rPr>
      <t xml:space="preserve">/etc/vmware/vsphere-client/ </t>
    </r>
    <r>
      <rPr>
        <sz val="11"/>
        <color rgb="FF000000"/>
        <rFont val="Calibri"/>
      </rPr>
      <t xml:space="preserve">
</t>
    </r>
    <r>
      <rPr>
        <sz val="11"/>
        <color rgb="FF000000"/>
        <rFont val="Calibri"/>
      </rPr>
      <t xml:space="preserve">Windows: </t>
    </r>
    <r>
      <rPr>
        <sz val="11"/>
        <color rgb="FF000000"/>
        <rFont val="Calibri"/>
      </rPr>
      <t xml:space="preserve">
</t>
    </r>
    <r>
      <rPr>
        <sz val="11"/>
        <color rgb="FF000000"/>
        <rFont val="Calibri"/>
      </rPr>
      <t>C:\ProgramData\VMware\vCenterServer\cfg\vsphere-client\</t>
    </r>
    <r>
      <rPr>
        <sz val="11"/>
        <color rgb="FF000000"/>
        <rFont val="Calibri"/>
      </rPr>
      <t xml:space="preserve">
</t>
    </r>
    <r>
      <rPr>
        <sz val="11"/>
        <color rgb="FF000000"/>
        <rFont val="Calibri"/>
      </rPr>
      <t>If "show.allusers.tasks" is not set to "true", this is a finding.</t>
    </r>
  </si>
  <si>
    <t>V-216852</t>
  </si>
  <si>
    <r>
      <rPr>
        <sz val="11"/>
        <rFont val="Calibri"/>
      </rPr>
      <t>The vCenter Server for Windows Administrator role must be secured and assigned to specific users other than a Windows Administrator.</t>
    </r>
  </si>
  <si>
    <r>
      <rPr>
        <sz val="11"/>
        <color rgb="FF000000"/>
        <rFont val="Calibri"/>
      </rPr>
      <t>Under the computer management console for windows view the local administrators group and remove any users or groups that do not fit the criteria defined in the check content.</t>
    </r>
  </si>
  <si>
    <r>
      <rPr>
        <sz val="11"/>
        <color rgb="FF000000"/>
        <rFont val="Calibri"/>
      </rPr>
      <t>By default, vCenter Server grants full administrative rights to the local administrator's account, which can be accessed by domain administrators. Separation of duties dictates that full vCenter Administrative rights should be granted only to those administrators who are required to have it. This privilege should not be granted to any group whose membership is not strictly controlled. Therefore, administrative rights should be removed from the local Windows server to users who are not vCenter administrators.</t>
    </r>
  </si>
  <si>
    <r>
      <rPr>
        <sz val="11"/>
        <color rgb="FF000000"/>
        <rFont val="Calibri"/>
      </rPr>
      <t>If enhanced linked mode is used then local windows authentication is not available to vCenter, this is not applicable.</t>
    </r>
    <r>
      <rPr>
        <sz val="11"/>
        <color rgb="FF000000"/>
        <rFont val="Calibri"/>
      </rPr>
      <t xml:space="preserve">
</t>
    </r>
    <r>
      <rPr>
        <sz val="11"/>
        <color rgb="FF000000"/>
        <rFont val="Calibri"/>
      </rPr>
      <t>Under the computer management console for Windows, view the local administrators group and verify only vCenter administrators have access to the vCenter server.</t>
    </r>
    <r>
      <rPr>
        <sz val="11"/>
        <color rgb="FF000000"/>
        <rFont val="Calibri"/>
      </rPr>
      <t xml:space="preserve">
</t>
    </r>
    <r>
      <rPr>
        <sz val="11"/>
        <color rgb="FF000000"/>
        <rFont val="Calibri"/>
      </rPr>
      <t>Other groups and users that are not vCenter administrators should be removed from the local administrators group, such as Domain Admins.</t>
    </r>
    <r>
      <rPr>
        <sz val="11"/>
        <color rgb="FF000000"/>
        <rFont val="Calibri"/>
      </rPr>
      <t xml:space="preserve">
</t>
    </r>
    <r>
      <rPr>
        <sz val="11"/>
        <color rgb="FF000000"/>
        <rFont val="Calibri"/>
      </rPr>
      <t>If there are any unauthorized groups or users present in the local administrators group of the vCenter server, this is a finding.</t>
    </r>
  </si>
  <si>
    <t>V-216853</t>
  </si>
  <si>
    <r>
      <rPr>
        <sz val="11"/>
        <rFont val="Calibri"/>
      </rPr>
      <t>The vCenter Server for Windows must restrict the connectivity between Update Manager and public patch repositories by use of a separate Update Manager Download Server.</t>
    </r>
  </si>
  <si>
    <r>
      <rPr>
        <sz val="11"/>
        <color rgb="FF000000"/>
        <rFont val="Calibri"/>
      </rPr>
      <t>Configure the Update Manager Server to use a separate Update Manager Download Server; the use of physical media to transfer updated files to the Update Manager server (air gap model) must be enforced and documented with organization policies. Configure the Update Manager Download Server and enable the Download Service. Patches must not be directly accessible to the Update Manager Server application from the Internet.</t>
    </r>
    <r>
      <rPr>
        <sz val="11"/>
        <color rgb="FF000000"/>
        <rFont val="Calibri"/>
      </rPr>
      <t xml:space="preserve">
</t>
    </r>
    <r>
      <rPr>
        <sz val="11"/>
        <color rgb="FF000000"/>
        <rFont val="Calibri"/>
      </rPr>
      <t>To configure a Web server or local disk repository as a download source (i.e., "Direct connection to Internet" must not be selected as the source), from the vSphere Client/vCenter Server system, click "Update Manager" under "Solutions and Applications". On the "Configuration" tab, under "Settings", click "Download Settings". In the "Download Sources" pane, select "Use a shared repository". Enter the &lt;site-specific&gt; path or the URL to the shared repository. Click "Validate URL" to validate the path. Click "Apply".</t>
    </r>
  </si>
  <si>
    <r>
      <rPr>
        <sz val="11"/>
        <color rgb="FF000000"/>
        <rFont val="Calibri"/>
      </rPr>
      <t>The Update Manager Download Service (UMDS) is an optional module of the Update Manager. UMDS downloads upgrades for virtual appliances, patch metadata, patch binaries, and notifications that would not otherwise be available to the Update Manager server. For security reasons and deployment restrictions, the Update Manager must be installed in a secured network that is disconnected from the Internet. The Update Manager requires access to patch information to function properly. UMDS must be installed on a separate system that has Internet access to download upgrades, patch binaries, and patch metadata, and then export the downloads to a portable media drive so that they become accessible to the Update Manager server.</t>
    </r>
  </si>
  <si>
    <r>
      <rPr>
        <sz val="11"/>
        <color rgb="FF000000"/>
        <rFont val="Calibri"/>
      </rPr>
      <t>Check the following conditions:</t>
    </r>
    <r>
      <rPr>
        <sz val="11"/>
        <color rgb="FF000000"/>
        <rFont val="Calibri"/>
      </rPr>
      <t xml:space="preserve">
</t>
    </r>
    <r>
      <rPr>
        <sz val="11"/>
        <color rgb="FF000000"/>
        <rFont val="Calibri"/>
      </rPr>
      <t xml:space="preserve">The Update Manager must be configured to use the Update Manager Download Server. </t>
    </r>
    <r>
      <rPr>
        <sz val="11"/>
        <color rgb="FF000000"/>
        <rFont val="Calibri"/>
      </rPr>
      <t xml:space="preserve">
</t>
    </r>
    <r>
      <rPr>
        <sz val="11"/>
        <color rgb="FF000000"/>
        <rFont val="Calibri"/>
      </rPr>
      <t>The use of physical media to transfer update files to the Update Manager server (air gap model example: separate Update Manager Download Server which may source vendor patches externally via the Internet versus an internal, organization defined source) must be enforced with site policies.</t>
    </r>
    <r>
      <rPr>
        <sz val="11"/>
        <color rgb="FF000000"/>
        <rFont val="Calibri"/>
      </rPr>
      <t xml:space="preserve">
</t>
    </r>
    <r>
      <rPr>
        <sz val="11"/>
        <color rgb="FF000000"/>
        <rFont val="Calibri"/>
      </rPr>
      <t xml:space="preserve">Verify the Update Manager download source is not the Internet. </t>
    </r>
    <r>
      <rPr>
        <sz val="11"/>
        <color rgb="FF000000"/>
        <rFont val="Calibri"/>
      </rPr>
      <t xml:space="preserve">
</t>
    </r>
    <r>
      <rPr>
        <sz val="11"/>
        <color rgb="FF000000"/>
        <rFont val="Calibri"/>
      </rPr>
      <t>To verify download settings, from the vSphere Client/vCenter Server system, click "Update Manager" under "Solutions and Applications".</t>
    </r>
    <r>
      <rPr>
        <sz val="11"/>
        <color rgb="FF000000"/>
        <rFont val="Calibri"/>
      </rPr>
      <t xml:space="preserve">
</t>
    </r>
    <r>
      <rPr>
        <sz val="11"/>
        <color rgb="FF000000"/>
        <rFont val="Calibri"/>
      </rPr>
      <t>On the "Configuration tab", under "Settings", click "Download Settings". In the "Download Sources" pane, verify "Direct connection to Internet" is not selected.</t>
    </r>
    <r>
      <rPr>
        <sz val="11"/>
        <color rgb="FF000000"/>
        <rFont val="Calibri"/>
      </rPr>
      <t xml:space="preserve">
</t>
    </r>
    <r>
      <rPr>
        <sz val="11"/>
        <color rgb="FF000000"/>
        <rFont val="Calibri"/>
      </rPr>
      <t>If "Direct connection to Internet" is configured, this is a finding.</t>
    </r>
    <r>
      <rPr>
        <sz val="11"/>
        <color rgb="FF000000"/>
        <rFont val="Calibri"/>
      </rPr>
      <t xml:space="preserve">
</t>
    </r>
    <r>
      <rPr>
        <sz val="11"/>
        <color rgb="FF000000"/>
        <rFont val="Calibri"/>
      </rPr>
      <t>If all of the above conditions are not met, this is a finding.</t>
    </r>
  </si>
  <si>
    <t>V-216854</t>
  </si>
  <si>
    <r>
      <rPr>
        <sz val="11"/>
        <rFont val="Calibri"/>
      </rPr>
      <t>The vCenter Server for Windows must use a least-privileges assignment for the Update Manager database user.</t>
    </r>
  </si>
  <si>
    <r>
      <rPr>
        <sz val="11"/>
        <color rgb="FF000000"/>
        <rFont val="Calibri"/>
      </rPr>
      <t xml:space="preserve">For Oracle DB normal runtime operation, set the following permissions. </t>
    </r>
    <r>
      <rPr>
        <sz val="11"/>
        <color rgb="FF000000"/>
        <rFont val="Calibri"/>
      </rPr>
      <t xml:space="preserve">
</t>
    </r>
    <r>
      <rPr>
        <sz val="11"/>
        <color rgb="FF000000"/>
        <rFont val="Calibri"/>
      </rPr>
      <t>grant connect to vumAdmin</t>
    </r>
    <r>
      <rPr>
        <sz val="11"/>
        <color rgb="FF000000"/>
        <rFont val="Calibri"/>
      </rPr>
      <t xml:space="preserve">
</t>
    </r>
    <r>
      <rPr>
        <sz val="11"/>
        <color rgb="FF000000"/>
        <rFont val="Calibri"/>
      </rPr>
      <t>grant resource to vumAdmin</t>
    </r>
    <r>
      <rPr>
        <sz val="11"/>
        <color rgb="FF000000"/>
        <rFont val="Calibri"/>
      </rPr>
      <t xml:space="preserve">
</t>
    </r>
    <r>
      <rPr>
        <sz val="11"/>
        <color rgb="FF000000"/>
        <rFont val="Calibri"/>
      </rPr>
      <t>grant create any job to vumAdmin</t>
    </r>
    <r>
      <rPr>
        <sz val="11"/>
        <color rgb="FF000000"/>
        <rFont val="Calibri"/>
      </rPr>
      <t xml:space="preserve">
</t>
    </r>
    <r>
      <rPr>
        <sz val="11"/>
        <color rgb="FF000000"/>
        <rFont val="Calibri"/>
      </rPr>
      <t>grant create view to vumAdmin</t>
    </r>
    <r>
      <rPr>
        <sz val="11"/>
        <color rgb="FF000000"/>
        <rFont val="Calibri"/>
      </rPr>
      <t xml:space="preserve">
</t>
    </r>
    <r>
      <rPr>
        <sz val="11"/>
        <color rgb="FF000000"/>
        <rFont val="Calibri"/>
      </rPr>
      <t>grant create any sequence to vumAdmin</t>
    </r>
    <r>
      <rPr>
        <sz val="11"/>
        <color rgb="FF000000"/>
        <rFont val="Calibri"/>
      </rPr>
      <t xml:space="preserve">
</t>
    </r>
    <r>
      <rPr>
        <sz val="11"/>
        <color rgb="FF000000"/>
        <rFont val="Calibri"/>
      </rPr>
      <t>grant create any table to vumAdmin</t>
    </r>
    <r>
      <rPr>
        <sz val="11"/>
        <color rgb="FF000000"/>
        <rFont val="Calibri"/>
      </rPr>
      <t xml:space="preserve">
</t>
    </r>
    <r>
      <rPr>
        <sz val="11"/>
        <color rgb="FF000000"/>
        <rFont val="Calibri"/>
      </rPr>
      <t>grant lock any table to vumAdmin</t>
    </r>
    <r>
      <rPr>
        <sz val="11"/>
        <color rgb="FF000000"/>
        <rFont val="Calibri"/>
      </rPr>
      <t xml:space="preserve">
</t>
    </r>
    <r>
      <rPr>
        <sz val="11"/>
        <color rgb="FF000000"/>
        <rFont val="Calibri"/>
      </rPr>
      <t>grant create procedure to vumAdmin</t>
    </r>
    <r>
      <rPr>
        <sz val="11"/>
        <color rgb="FF000000"/>
        <rFont val="Calibri"/>
      </rPr>
      <t xml:space="preserve">
</t>
    </r>
    <r>
      <rPr>
        <sz val="11"/>
        <color rgb="FF000000"/>
        <rFont val="Calibri"/>
      </rPr>
      <t>grant create type to vumAdmin</t>
    </r>
    <r>
      <rPr>
        <sz val="11"/>
        <color rgb="FF000000"/>
        <rFont val="Calibri"/>
      </rPr>
      <t xml:space="preserve">
</t>
    </r>
    <r>
      <rPr>
        <sz val="11"/>
        <color rgb="FF000000"/>
        <rFont val="Calibri"/>
      </rPr>
      <t>grant execute on dbms_lock to vumAdmin</t>
    </r>
    <r>
      <rPr>
        <sz val="11"/>
        <color rgb="FF000000"/>
        <rFont val="Calibri"/>
      </rPr>
      <t xml:space="preserve">
</t>
    </r>
    <r>
      <rPr>
        <sz val="11"/>
        <color rgb="FF000000"/>
        <rFont val="Calibri"/>
      </rPr>
      <t>grant unlimited tablespace to vumAdmin</t>
    </r>
    <r>
      <rPr>
        <sz val="11"/>
        <color rgb="FF000000"/>
        <rFont val="Calibri"/>
      </rPr>
      <t xml:space="preserve">
</t>
    </r>
    <r>
      <rPr>
        <sz val="11"/>
        <color rgb="FF000000"/>
        <rFont val="Calibri"/>
      </rPr>
      <t># To ensure space limitation is not an issue</t>
    </r>
    <r>
      <rPr>
        <sz val="11"/>
        <color rgb="FF000000"/>
        <rFont val="Calibri"/>
      </rPr>
      <t xml:space="preserve">
</t>
    </r>
    <r>
      <rPr>
        <sz val="11"/>
        <color rgb="FF000000"/>
        <rFont val="Calibri"/>
      </rPr>
      <t>For SQL DB normal operation, make sure that the database user has either a sysadmin server role or the db_owner fixed database role on the Update Manager database and the MSDB database.</t>
    </r>
    <r>
      <rPr>
        <sz val="11"/>
        <color rgb="FF000000"/>
        <rFont val="Calibri"/>
      </rPr>
      <t xml:space="preserve">
</t>
    </r>
    <r>
      <rPr>
        <sz val="11"/>
        <color rgb="FF000000"/>
        <rFont val="Calibri"/>
      </rPr>
      <t>The db_owner role on the MSDB database is required for installation and upgrade only.</t>
    </r>
    <r>
      <rPr>
        <sz val="11"/>
        <color rgb="FF000000"/>
        <rFont val="Calibri"/>
      </rPr>
      <t xml:space="preserve">
</t>
    </r>
    <r>
      <rPr>
        <sz val="11"/>
        <color rgb="FF000000"/>
        <rFont val="Calibri"/>
      </rPr>
      <t>Note: While current, it is always best to check both the latest VMware Update Manager Administration Guide and the vendor database documentation for any updates to these configurations.</t>
    </r>
  </si>
  <si>
    <r>
      <rPr>
        <sz val="11"/>
        <color rgb="FF000000"/>
        <rFont val="Calibri"/>
      </rPr>
      <t>Least-privileges mitigate attacks if the Update Manager database account is compromised. The VMware Update Manager requires certain privileges for the database user in order to install, and the installer will automatically check for these. The privileges on the VUM database user must be reduced for normal operation.</t>
    </r>
  </si>
  <si>
    <r>
      <rPr>
        <sz val="11"/>
        <color rgb="FF000000"/>
        <rFont val="Calibri"/>
      </rPr>
      <t>Verify only the following permissions are allowed to the VUM database user.</t>
    </r>
    <r>
      <rPr>
        <sz val="11"/>
        <color rgb="FF000000"/>
        <rFont val="Calibri"/>
      </rPr>
      <t xml:space="preserve">
</t>
    </r>
    <r>
      <rPr>
        <sz val="11"/>
        <color rgb="FF000000"/>
        <rFont val="Calibri"/>
      </rPr>
      <t xml:space="preserve">For Oracle DB normal operation, only the following permissions are required. </t>
    </r>
    <r>
      <rPr>
        <sz val="11"/>
        <color rgb="FF000000"/>
        <rFont val="Calibri"/>
      </rPr>
      <t xml:space="preserve">
</t>
    </r>
    <r>
      <rPr>
        <sz val="11"/>
        <color rgb="FF000000"/>
        <rFont val="Calibri"/>
      </rPr>
      <t>grant connect to vumAdmin</t>
    </r>
    <r>
      <rPr>
        <sz val="11"/>
        <color rgb="FF000000"/>
        <rFont val="Calibri"/>
      </rPr>
      <t xml:space="preserve">
</t>
    </r>
    <r>
      <rPr>
        <sz val="11"/>
        <color rgb="FF000000"/>
        <rFont val="Calibri"/>
      </rPr>
      <t>grant resource to vumAdmin</t>
    </r>
    <r>
      <rPr>
        <sz val="11"/>
        <color rgb="FF000000"/>
        <rFont val="Calibri"/>
      </rPr>
      <t xml:space="preserve">
</t>
    </r>
    <r>
      <rPr>
        <sz val="11"/>
        <color rgb="FF000000"/>
        <rFont val="Calibri"/>
      </rPr>
      <t>grant create any job to vumAdmin</t>
    </r>
    <r>
      <rPr>
        <sz val="11"/>
        <color rgb="FF000000"/>
        <rFont val="Calibri"/>
      </rPr>
      <t xml:space="preserve">
</t>
    </r>
    <r>
      <rPr>
        <sz val="11"/>
        <color rgb="FF000000"/>
        <rFont val="Calibri"/>
      </rPr>
      <t>grant create view to vumAdmin</t>
    </r>
    <r>
      <rPr>
        <sz val="11"/>
        <color rgb="FF000000"/>
        <rFont val="Calibri"/>
      </rPr>
      <t xml:space="preserve">
</t>
    </r>
    <r>
      <rPr>
        <sz val="11"/>
        <color rgb="FF000000"/>
        <rFont val="Calibri"/>
      </rPr>
      <t>grant create any sequence to vumAdmin</t>
    </r>
    <r>
      <rPr>
        <sz val="11"/>
        <color rgb="FF000000"/>
        <rFont val="Calibri"/>
      </rPr>
      <t xml:space="preserve">
</t>
    </r>
    <r>
      <rPr>
        <sz val="11"/>
        <color rgb="FF000000"/>
        <rFont val="Calibri"/>
      </rPr>
      <t>grant create any table to vumAdmin</t>
    </r>
    <r>
      <rPr>
        <sz val="11"/>
        <color rgb="FF000000"/>
        <rFont val="Calibri"/>
      </rPr>
      <t xml:space="preserve">
</t>
    </r>
    <r>
      <rPr>
        <sz val="11"/>
        <color rgb="FF000000"/>
        <rFont val="Calibri"/>
      </rPr>
      <t>grant lock any table to vumAdmin</t>
    </r>
    <r>
      <rPr>
        <sz val="11"/>
        <color rgb="FF000000"/>
        <rFont val="Calibri"/>
      </rPr>
      <t xml:space="preserve">
</t>
    </r>
    <r>
      <rPr>
        <sz val="11"/>
        <color rgb="FF000000"/>
        <rFont val="Calibri"/>
      </rPr>
      <t>grant create procedure to vumAdmin</t>
    </r>
    <r>
      <rPr>
        <sz val="11"/>
        <color rgb="FF000000"/>
        <rFont val="Calibri"/>
      </rPr>
      <t xml:space="preserve">
</t>
    </r>
    <r>
      <rPr>
        <sz val="11"/>
        <color rgb="FF000000"/>
        <rFont val="Calibri"/>
      </rPr>
      <t>grant create type to vumAdmin</t>
    </r>
    <r>
      <rPr>
        <sz val="11"/>
        <color rgb="FF000000"/>
        <rFont val="Calibri"/>
      </rPr>
      <t xml:space="preserve">
</t>
    </r>
    <r>
      <rPr>
        <sz val="11"/>
        <color rgb="FF000000"/>
        <rFont val="Calibri"/>
      </rPr>
      <t>grant execute on dbms_lock to vumAdmin</t>
    </r>
    <r>
      <rPr>
        <sz val="11"/>
        <color rgb="FF000000"/>
        <rFont val="Calibri"/>
      </rPr>
      <t xml:space="preserve">
</t>
    </r>
    <r>
      <rPr>
        <sz val="11"/>
        <color rgb="FF000000"/>
        <rFont val="Calibri"/>
      </rPr>
      <t>grant unlimited tablespace to vumAdmin</t>
    </r>
    <r>
      <rPr>
        <sz val="11"/>
        <color rgb="FF000000"/>
        <rFont val="Calibri"/>
      </rPr>
      <t xml:space="preserve">
</t>
    </r>
    <r>
      <rPr>
        <sz val="11"/>
        <color rgb="FF000000"/>
        <rFont val="Calibri"/>
      </rPr>
      <t># To ensure space limitation is not an issue</t>
    </r>
    <r>
      <rPr>
        <sz val="11"/>
        <color rgb="FF000000"/>
        <rFont val="Calibri"/>
      </rPr>
      <t xml:space="preserve">
</t>
    </r>
    <r>
      <rPr>
        <sz val="11"/>
        <color rgb="FF000000"/>
        <rFont val="Calibri"/>
      </rPr>
      <t>For SQL DB normal operation, make sure that the database user has either a sysadmin server role or the db_owner fixed database role on the Update Manager database and the MSDB database.</t>
    </r>
    <r>
      <rPr>
        <sz val="11"/>
        <color rgb="FF000000"/>
        <rFont val="Calibri"/>
      </rPr>
      <t xml:space="preserve">
</t>
    </r>
    <r>
      <rPr>
        <sz val="11"/>
        <color rgb="FF000000"/>
        <rFont val="Calibri"/>
      </rPr>
      <t>The db_owner role on the MSDB database is required for installation and upgrade only.</t>
    </r>
    <r>
      <rPr>
        <sz val="11"/>
        <color rgb="FF000000"/>
        <rFont val="Calibri"/>
      </rPr>
      <t xml:space="preserve">
</t>
    </r>
    <r>
      <rPr>
        <sz val="11"/>
        <color rgb="FF000000"/>
        <rFont val="Calibri"/>
      </rPr>
      <t>If the above vendor database-dependent permissions are not strictly adhered to, this is a finding.</t>
    </r>
  </si>
  <si>
    <t>V-216855</t>
  </si>
  <si>
    <r>
      <rPr>
        <sz val="11"/>
        <rFont val="Calibri"/>
      </rPr>
      <t>The vCenter Server for Windows must use a least-privileges assignment for the vCenter Server database user.</t>
    </r>
  </si>
  <si>
    <r>
      <rPr>
        <sz val="11"/>
        <color rgb="FF000000"/>
        <rFont val="Calibri"/>
      </rPr>
      <t xml:space="preserve">Configure correct permissions and roles for SQL: </t>
    </r>
    <r>
      <rPr>
        <sz val="11"/>
        <color rgb="FF000000"/>
        <rFont val="Calibri"/>
      </rPr>
      <t xml:space="preserve">
</t>
    </r>
    <r>
      <rPr>
        <sz val="11"/>
        <color rgb="FF000000"/>
        <rFont val="Calibri"/>
      </rPr>
      <t xml:space="preserve">Grant these privileges to a vCenter database administrator role used only for initial setup and periodic maintenance of the database: </t>
    </r>
    <r>
      <rPr>
        <sz val="11"/>
        <color rgb="FF000000"/>
        <rFont val="Calibri"/>
      </rPr>
      <t xml:space="preserve">
</t>
    </r>
    <r>
      <rPr>
        <sz val="11"/>
        <color rgb="FF000000"/>
        <rFont val="Calibri"/>
      </rPr>
      <t xml:space="preserve">Schema permissions ALTER, REFERENCES, and INSERT. </t>
    </r>
    <r>
      <rPr>
        <sz val="11"/>
        <color rgb="FF000000"/>
        <rFont val="Calibri"/>
      </rPr>
      <t xml:space="preserve">
</t>
    </r>
    <r>
      <rPr>
        <sz val="11"/>
        <color rgb="FF000000"/>
        <rFont val="Calibri"/>
      </rPr>
      <t xml:space="preserve">Permissions CREATE TABLE, ALTER TABLE, VIEW, and CREATE PROCEDURES. </t>
    </r>
    <r>
      <rPr>
        <sz val="11"/>
        <color rgb="FF000000"/>
        <rFont val="Calibri"/>
      </rPr>
      <t xml:space="preserve">
</t>
    </r>
    <r>
      <rPr>
        <sz val="11"/>
        <color rgb="FF000000"/>
        <rFont val="Calibri"/>
      </rPr>
      <t xml:space="preserve">Grant these privileges to a vCenter database user role: </t>
    </r>
    <r>
      <rPr>
        <sz val="11"/>
        <color rgb="FF000000"/>
        <rFont val="Calibri"/>
      </rPr>
      <t xml:space="preserve">
</t>
    </r>
    <r>
      <rPr>
        <sz val="11"/>
        <color rgb="FF000000"/>
        <rFont val="Calibri"/>
      </rPr>
      <t xml:space="preserve">SELECT, INSERT, DELETE, UPDATE, and EXECUTE. </t>
    </r>
    <r>
      <rPr>
        <sz val="11"/>
        <color rgb="FF000000"/>
        <rFont val="Calibri"/>
      </rPr>
      <t xml:space="preserve">
</t>
    </r>
    <r>
      <rPr>
        <sz val="11"/>
        <color rgb="FF000000"/>
        <rFont val="Calibri"/>
      </rPr>
      <t xml:space="preserve">EXECUTE permissions on sp_add_job, sp_delete_job, sp_add_jobstep, sp_update_job, sp_add_jobserver, sp_add_jobschedule, and sp_add_category stored procedures. </t>
    </r>
    <r>
      <rPr>
        <sz val="11"/>
        <color rgb="FF000000"/>
        <rFont val="Calibri"/>
      </rPr>
      <t xml:space="preserve">
</t>
    </r>
    <r>
      <rPr>
        <sz val="11"/>
        <color rgb="FF000000"/>
        <rFont val="Calibri"/>
      </rPr>
      <t xml:space="preserve">SELECT permission on syscategories, sysjobsteps, sysjobs_view, and sysjobs tables. </t>
    </r>
    <r>
      <rPr>
        <sz val="11"/>
        <color rgb="FF000000"/>
        <rFont val="Calibri"/>
      </rPr>
      <t xml:space="preserve">
</t>
    </r>
    <r>
      <rPr>
        <sz val="11"/>
        <color rgb="FF000000"/>
        <rFont val="Calibri"/>
      </rPr>
      <t>Grant the permissions VIEW SERVER STATE and VIEW ANY DEFINITIONS to the vCenter database user.</t>
    </r>
  </si>
  <si>
    <r>
      <rPr>
        <sz val="11"/>
        <color rgb="FF000000"/>
        <rFont val="Calibri"/>
      </rPr>
      <t>Least-privileges mitigates attacks if the vCenter database account is compromised. vCenter requires very specific privileges on the database. Privileges normally required only for installation and upgrade must be removed for/during normal operation. These privileges may be reinstated if/when any future upgrade must be performed.</t>
    </r>
  </si>
  <si>
    <r>
      <rPr>
        <sz val="11"/>
        <color rgb="FF000000"/>
        <rFont val="Calibri"/>
      </rPr>
      <t xml:space="preserve">Verify only the following permissions are allowed on the vCenter database for the following roles and users. </t>
    </r>
    <r>
      <rPr>
        <sz val="11"/>
        <color rgb="FF000000"/>
        <rFont val="Calibri"/>
      </rPr>
      <t xml:space="preserve">
</t>
    </r>
    <r>
      <rPr>
        <sz val="11"/>
        <color rgb="FF000000"/>
        <rFont val="Calibri"/>
      </rPr>
      <t xml:space="preserve">vCenter database administrator role used only for initial setup and periodic maintenance of the database: </t>
    </r>
    <r>
      <rPr>
        <sz val="11"/>
        <color rgb="FF000000"/>
        <rFont val="Calibri"/>
      </rPr>
      <t xml:space="preserve">
</t>
    </r>
    <r>
      <rPr>
        <sz val="11"/>
        <color rgb="FF000000"/>
        <rFont val="Calibri"/>
      </rPr>
      <t xml:space="preserve">Schema permissions ALTER, REFERENCES, and INSERT. </t>
    </r>
    <r>
      <rPr>
        <sz val="11"/>
        <color rgb="FF000000"/>
        <rFont val="Calibri"/>
      </rPr>
      <t xml:space="preserve">
</t>
    </r>
    <r>
      <rPr>
        <sz val="11"/>
        <color rgb="FF000000"/>
        <rFont val="Calibri"/>
      </rPr>
      <t xml:space="preserve">Permissions CREATE TABLE, ALTER TABLE, VIEW, and CREATE PROCEDURES. </t>
    </r>
    <r>
      <rPr>
        <sz val="11"/>
        <color rgb="FF000000"/>
        <rFont val="Calibri"/>
      </rPr>
      <t xml:space="preserve">
</t>
    </r>
    <r>
      <rPr>
        <sz val="11"/>
        <color rgb="FF000000"/>
        <rFont val="Calibri"/>
      </rPr>
      <t xml:space="preserve">vCenter database user role: </t>
    </r>
    <r>
      <rPr>
        <sz val="11"/>
        <color rgb="FF000000"/>
        <rFont val="Calibri"/>
      </rPr>
      <t xml:space="preserve">
</t>
    </r>
    <r>
      <rPr>
        <sz val="11"/>
        <color rgb="FF000000"/>
        <rFont val="Calibri"/>
      </rPr>
      <t xml:space="preserve">SELECT, INSERT, DELETE, UPDATE, and EXECUTE. </t>
    </r>
    <r>
      <rPr>
        <sz val="11"/>
        <color rgb="FF000000"/>
        <rFont val="Calibri"/>
      </rPr>
      <t xml:space="preserve">
</t>
    </r>
    <r>
      <rPr>
        <sz val="11"/>
        <color rgb="FF000000"/>
        <rFont val="Calibri"/>
      </rPr>
      <t xml:space="preserve">EXECUTE permissions on sp_add_job, sp_delete_job, sp_add_jobstep, sp_update_job, sp_add_jobserver, sp_add_jobschedule, and sp_add_category stored procedures. </t>
    </r>
    <r>
      <rPr>
        <sz val="11"/>
        <color rgb="FF000000"/>
        <rFont val="Calibri"/>
      </rPr>
      <t xml:space="preserve">
</t>
    </r>
    <r>
      <rPr>
        <sz val="11"/>
        <color rgb="FF000000"/>
        <rFont val="Calibri"/>
      </rPr>
      <t xml:space="preserve">SELECT permission on syscategories, sysjobsteps, sysjobs_view, and sysjobs tables. </t>
    </r>
    <r>
      <rPr>
        <sz val="11"/>
        <color rgb="FF000000"/>
        <rFont val="Calibri"/>
      </rPr>
      <t xml:space="preserve">
</t>
    </r>
    <r>
      <rPr>
        <sz val="11"/>
        <color rgb="FF000000"/>
        <rFont val="Calibri"/>
      </rPr>
      <t xml:space="preserve">vCenter database user: </t>
    </r>
    <r>
      <rPr>
        <sz val="11"/>
        <color rgb="FF000000"/>
        <rFont val="Calibri"/>
      </rPr>
      <t xml:space="preserve">
</t>
    </r>
    <r>
      <rPr>
        <sz val="11"/>
        <color rgb="FF000000"/>
        <rFont val="Calibri"/>
      </rPr>
      <t xml:space="preserve">VIEW SERVER STATE and VIEW ANY DEFINITIONS. </t>
    </r>
    <r>
      <rPr>
        <sz val="11"/>
        <color rgb="FF000000"/>
        <rFont val="Calibri"/>
      </rPr>
      <t xml:space="preserve">
</t>
    </r>
    <r>
      <rPr>
        <sz val="11"/>
        <color rgb="FF000000"/>
        <rFont val="Calibri"/>
      </rPr>
      <t xml:space="preserve">Equivalent permissions must be set for Non-MS databases. </t>
    </r>
    <r>
      <rPr>
        <sz val="11"/>
        <color rgb="FF000000"/>
        <rFont val="Calibri"/>
      </rPr>
      <t xml:space="preserve">
</t>
    </r>
    <r>
      <rPr>
        <sz val="11"/>
        <color rgb="FF000000"/>
        <rFont val="Calibri"/>
      </rPr>
      <t>If the above database permissions are not set correctly, this is a finding.</t>
    </r>
  </si>
  <si>
    <t>V-216856</t>
  </si>
  <si>
    <r>
      <rPr>
        <sz val="11"/>
        <rFont val="Calibri"/>
      </rPr>
      <t>The vCenter Server for Windows must use unique service accounts when applications connect to vCenter.</t>
    </r>
  </si>
  <si>
    <r>
      <rPr>
        <sz val="11"/>
        <color rgb="FF000000"/>
        <rFont val="Calibri"/>
      </rPr>
      <t>For applications sharing service accounts create a new service account to assign to the application so that no application shares a service account with another.</t>
    </r>
    <r>
      <rPr>
        <sz val="11"/>
        <color rgb="FF000000"/>
        <rFont val="Calibri"/>
      </rPr>
      <t xml:space="preserve">
</t>
    </r>
    <r>
      <rPr>
        <sz val="11"/>
        <color rgb="FF000000"/>
        <rFont val="Calibri"/>
      </rPr>
      <t>When standing up a new application that requires access to vCenter always create a new service account prior to installation and grant only the permissions needed for that application.</t>
    </r>
  </si>
  <si>
    <r>
      <rPr>
        <sz val="11"/>
        <color rgb="FF000000"/>
        <rFont val="Calibri"/>
      </rPr>
      <t>In order to not violate non-repudiation (i.e., deny the authenticity of who is connecting to vCenter), when applications need to connect to vCenter they should use unique service accounts.</t>
    </r>
  </si>
  <si>
    <r>
      <rPr>
        <sz val="11"/>
        <color rgb="FF000000"/>
        <rFont val="Calibri"/>
      </rPr>
      <t>Verify that each external application that connects to vCenter has a unique service account dedicated to that application.  For example there should be separate accounts for Log Insight, Operations Manager, or anything else that requires an account to access vCenter.</t>
    </r>
    <r>
      <rPr>
        <sz val="11"/>
        <color rgb="FF000000"/>
        <rFont val="Calibri"/>
      </rPr>
      <t xml:space="preserve">
</t>
    </r>
    <r>
      <rPr>
        <sz val="11"/>
        <color rgb="FF000000"/>
        <rFont val="Calibri"/>
      </rPr>
      <t>If any application shares a service account that is used to connect to vCenter, this is a finding.</t>
    </r>
  </si>
  <si>
    <t>V-216857</t>
  </si>
  <si>
    <r>
      <rPr>
        <sz val="11"/>
        <rFont val="Calibri"/>
      </rPr>
      <t>vCenter Server for Windows plugins must be verified.</t>
    </r>
  </si>
  <si>
    <r>
      <rPr>
        <sz val="11"/>
        <color rgb="FF000000"/>
        <rFont val="Calibri"/>
      </rPr>
      <t>From the vSphere Web Client go to Administration &gt;&gt; Solutions &gt;&gt; Client Plug-Ins and right click the unknown plug-in and click disable then proceed to remove the plug-in.</t>
    </r>
    <r>
      <rPr>
        <sz val="11"/>
        <color rgb="FF000000"/>
        <rFont val="Calibri"/>
      </rPr>
      <t xml:space="preserve">
</t>
    </r>
    <r>
      <rPr>
        <sz val="11"/>
        <color rgb="FF000000"/>
        <rFont val="Calibri"/>
      </rPr>
      <t>To remove plug-ins do the following:</t>
    </r>
    <r>
      <rPr>
        <sz val="11"/>
        <color rgb="FF000000"/>
        <rFont val="Calibri"/>
      </rPr>
      <t xml:space="preserve">
</t>
    </r>
    <r>
      <rPr>
        <sz val="11"/>
        <color rgb="FF000000"/>
        <rFont val="Calibri"/>
      </rPr>
      <t>If you have vCenter Server in linked mode, perform this procedure on the vCenter Server that is used to install the plug-in initially, then restart the vCenter Server services on the linked vCenter Server.</t>
    </r>
    <r>
      <rPr>
        <sz val="11"/>
        <color rgb="FF000000"/>
        <rFont val="Calibri"/>
      </rPr>
      <t xml:space="preserve">
</t>
    </r>
    <r>
      <rPr>
        <sz val="11"/>
        <color rgb="FF000000"/>
        <rFont val="Calibri"/>
      </rPr>
      <t>In a web browser, navigate to http://vCenter_Server_name_or_IP/mob.</t>
    </r>
    <r>
      <rPr>
        <sz val="11"/>
        <color rgb="FF000000"/>
        <rFont val="Calibri"/>
      </rPr>
      <t xml:space="preserve">
</t>
    </r>
    <r>
      <rPr>
        <sz val="11"/>
        <color rgb="FF000000"/>
        <rFont val="Calibri"/>
      </rPr>
      <t>Where vCenter_Server_name_or_IP/mob is the name of your vCenter Server or its IP address.</t>
    </r>
    <r>
      <rPr>
        <sz val="11"/>
        <color rgb="FF000000"/>
        <rFont val="Calibri"/>
      </rPr>
      <t xml:space="preserve">
</t>
    </r>
    <r>
      <rPr>
        <sz val="11"/>
        <color rgb="FF000000"/>
        <rFont val="Calibri"/>
      </rPr>
      <t>Click Content.</t>
    </r>
    <r>
      <rPr>
        <sz val="11"/>
        <color rgb="FF000000"/>
        <rFont val="Calibri"/>
      </rPr>
      <t xml:space="preserve">
</t>
    </r>
    <r>
      <rPr>
        <sz val="11"/>
        <color rgb="FF000000"/>
        <rFont val="Calibri"/>
      </rPr>
      <t>Click ExtensionManager.</t>
    </r>
    <r>
      <rPr>
        <sz val="11"/>
        <color rgb="FF000000"/>
        <rFont val="Calibri"/>
      </rPr>
      <t xml:space="preserve">
</t>
    </r>
    <r>
      <rPr>
        <sz val="11"/>
        <color rgb="FF000000"/>
        <rFont val="Calibri"/>
      </rPr>
      <t>Select and copy the name of the plug-in you want to remove from the list of values under Properties. For a list of default plug-ins, see the Additional Information section of this article.</t>
    </r>
    <r>
      <rPr>
        <sz val="11"/>
        <color rgb="FF000000"/>
        <rFont val="Calibri"/>
      </rPr>
      <t xml:space="preserve">
</t>
    </r>
    <r>
      <rPr>
        <sz val="11"/>
        <color rgb="FF000000"/>
        <rFont val="Calibri"/>
      </rPr>
      <t>Click UnregisterExtension. A new window appears.</t>
    </r>
    <r>
      <rPr>
        <sz val="11"/>
        <color rgb="FF000000"/>
        <rFont val="Calibri"/>
      </rPr>
      <t xml:space="preserve">
</t>
    </r>
    <r>
      <rPr>
        <sz val="11"/>
        <color rgb="FF000000"/>
        <rFont val="Calibri"/>
      </rPr>
      <t>Paste the name of the plug-in and click Invoke Method. This removes the plug-in.</t>
    </r>
    <r>
      <rPr>
        <sz val="11"/>
        <color rgb="FF000000"/>
        <rFont val="Calibri"/>
      </rPr>
      <t xml:space="preserve">
</t>
    </r>
    <r>
      <rPr>
        <sz val="11"/>
        <color rgb="FF000000"/>
        <rFont val="Calibri"/>
      </rPr>
      <t>Close the window.</t>
    </r>
    <r>
      <rPr>
        <sz val="11"/>
        <color rgb="FF000000"/>
        <rFont val="Calibri"/>
      </rPr>
      <t xml:space="preserve">
</t>
    </r>
    <r>
      <rPr>
        <sz val="11"/>
        <color rgb="FF000000"/>
        <rFont val="Calibri"/>
      </rPr>
      <t>Refresh the Managed Object Type:ManagedObjectReference:ExtensionManager window to verify that the plug-in is removed successfully.</t>
    </r>
    <r>
      <rPr>
        <sz val="11"/>
        <color rgb="FF000000"/>
        <rFont val="Calibri"/>
      </rPr>
      <t xml:space="preserve">
</t>
    </r>
    <r>
      <rPr>
        <sz val="11"/>
        <color rgb="FF000000"/>
        <rFont val="Calibri"/>
      </rPr>
      <t>Note: If the plug-in still appears, you may have to restart the vSphere Client.</t>
    </r>
    <r>
      <rPr>
        <sz val="11"/>
        <color rgb="FF000000"/>
        <rFont val="Calibri"/>
      </rPr>
      <t xml:space="preserve">
</t>
    </r>
    <r>
      <rPr>
        <sz val="11"/>
        <color rgb="FF000000"/>
        <rFont val="Calibri"/>
      </rPr>
      <t>Note: You may have to enable the Managed Object Browser (MOB) temporarily if previously disabled.</t>
    </r>
  </si>
  <si>
    <r>
      <rPr>
        <sz val="11"/>
        <color rgb="FF000000"/>
        <rFont val="Calibri"/>
      </rPr>
      <t>The vCenter Server includes a vSphere Client extensibility framework, which provides the ability to extend the vSphere Client with menu selections or toolbar icons that provide access to vCenter Server add-on components or external, Web-based functionality. vSphere Client plugins or extensions run at the same privilege level as the user. Malicious extensions might masquerade as useful add-ons while compromising the system by stealing credentials or incorrectly configuring the system.</t>
    </r>
  </si>
  <si>
    <r>
      <rPr>
        <sz val="11"/>
        <color rgb="FF000000"/>
        <rFont val="Calibri"/>
      </rPr>
      <t>Verify the vSphere Client used by administrators includes only authorized extensions from trusted sources.</t>
    </r>
    <r>
      <rPr>
        <sz val="11"/>
        <color rgb="FF000000"/>
        <rFont val="Calibri"/>
      </rPr>
      <t xml:space="preserve">
</t>
    </r>
    <r>
      <rPr>
        <sz val="11"/>
        <color rgb="FF000000"/>
        <rFont val="Calibri"/>
      </rPr>
      <t>From the vSphere Web Client go to Administration &gt;&gt; Solutions &gt;&gt; Client Plug-Ins. View the Installed/Available Plug-ins list and verify they are all identified as authorized VMware, Third-party (Partner) and/or site-specific (locally developed and site) approved plug-ins.</t>
    </r>
    <r>
      <rPr>
        <sz val="11"/>
        <color rgb="FF000000"/>
        <rFont val="Calibri"/>
      </rPr>
      <t xml:space="preserve">
</t>
    </r>
    <r>
      <rPr>
        <sz val="11"/>
        <color rgb="FF000000"/>
        <rFont val="Calibri"/>
      </rPr>
      <t>If any Installed/Available plug-ins in the viewable list cannot be verified as vSphere Client plug-ins and/or authorized extensions from trusted sources, this is a finding.</t>
    </r>
  </si>
  <si>
    <t>V-216858</t>
  </si>
  <si>
    <r>
      <rPr>
        <sz val="11"/>
        <rFont val="Calibri"/>
      </rPr>
      <t>The vCenter Server for Windows must produce audit records containing information to establish what type of events occurred.</t>
    </r>
  </si>
  <si>
    <r>
      <rPr>
        <sz val="11"/>
        <color rgb="FF000000"/>
        <rFont val="Calibri"/>
      </rPr>
      <t>From the vSphere Web Client go to Host and Clusters &gt;&gt; Select a vCenter Server &gt;&gt; Configure &gt;&gt; Settings &gt;&gt; Advanced Settings. Click "Edit" and edit the "config.log.level" setting to "info" or if the value does not exist create it by entering the values in the "Key" and "Value" fields and clicking "Add".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If the setting already exists:</t>
    </r>
    <r>
      <rPr>
        <sz val="11"/>
        <color rgb="FF000000"/>
        <rFont val="Calibri"/>
      </rPr>
      <t xml:space="preserve">
</t>
    </r>
    <r>
      <rPr>
        <sz val="11"/>
        <color rgb="FF000000"/>
        <rFont val="Calibri"/>
      </rPr>
      <t>Get-AdvancedSetting -Entity &lt;vcenter server name&gt; -Name config.log.level | Set-AdvancedSetting -Value info</t>
    </r>
    <r>
      <rPr>
        <sz val="11"/>
        <color rgb="FF000000"/>
        <rFont val="Calibri"/>
      </rPr>
      <t xml:space="preserve">
</t>
    </r>
    <r>
      <rPr>
        <sz val="11"/>
        <color rgb="FF000000"/>
        <rFont val="Calibri"/>
      </rPr>
      <t>If the setting does not exist:</t>
    </r>
    <r>
      <rPr>
        <sz val="11"/>
        <color rgb="FF000000"/>
        <rFont val="Calibri"/>
      </rPr>
      <t xml:space="preserve">
</t>
    </r>
    <r>
      <rPr>
        <sz val="11"/>
        <color rgb="FF000000"/>
        <rFont val="Calibri"/>
      </rPr>
      <t>New-AdvancedSetting -Entity &lt;vcenter server name&gt; -Name config.log.level -Value info</t>
    </r>
  </si>
  <si>
    <r>
      <rPr>
        <sz val="11"/>
        <color rgb="FF000000"/>
        <rFont val="Calibri"/>
      </rPr>
      <t>From the vSphere Web Client go to Host and Clusters &gt;&gt; Select a vCenter Server &gt;&gt; Configure &gt;&gt; Settings &gt;&gt; Advanced Settings. Verify that "config.log.level" value is set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config.log.level and verify it is set to "info".</t>
    </r>
    <r>
      <rPr>
        <sz val="11"/>
        <color rgb="FF000000"/>
        <rFont val="Calibri"/>
      </rPr>
      <t xml:space="preserve">
</t>
    </r>
    <r>
      <rPr>
        <sz val="11"/>
        <color rgb="FF000000"/>
        <rFont val="Calibri"/>
      </rPr>
      <t>If the "config.log.level" value is not set to "info" or does not exist, this is a finding.</t>
    </r>
  </si>
  <si>
    <t>V-216859</t>
  </si>
  <si>
    <r>
      <rPr>
        <sz val="11"/>
        <rFont val="Calibri"/>
      </rPr>
      <t>The vCenter Server for Windows passwords must be at least 15 characters in length.</t>
    </r>
  </si>
  <si>
    <r>
      <rPr>
        <sz val="11"/>
        <color rgb="FF000000"/>
        <rFont val="Calibri"/>
      </rPr>
      <t>From the vSphere Web Client go to Administration &gt;&gt; Single Sign-On &gt;&gt; Configuration &gt;&gt; Policies &gt;&gt; Password Policy. Click "Edit". Set the Minimum Length to "15" and click "OK".</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</si>
  <si>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Use of more characters in a password helps to exponentially increase the time and/or resources required to compromise the password.</t>
    </r>
  </si>
  <si>
    <r>
      <rPr>
        <sz val="11"/>
        <color rgb="FF000000"/>
        <rFont val="Calibri"/>
      </rPr>
      <t xml:space="preserve">From the vSphere Web Client go to Administration &gt;&gt; Single Sign-On &gt;&gt; Configuration &gt;&gt; Policies &gt;&gt; Password Policy. </t>
    </r>
    <r>
      <rPr>
        <sz val="11"/>
        <color rgb="FF000000"/>
        <rFont val="Calibri"/>
      </rPr>
      <t xml:space="preserve">
</t>
    </r>
    <r>
      <rPr>
        <sz val="11"/>
        <color rgb="FF000000"/>
        <rFont val="Calibri"/>
      </rPr>
      <t xml:space="preserve">View the values of the password format requirements. </t>
    </r>
    <r>
      <rPr>
        <sz val="11"/>
        <color rgb="FF000000"/>
        <rFont val="Calibri"/>
      </rPr>
      <t xml:space="preserve">
</t>
    </r>
    <r>
      <rPr>
        <sz val="11"/>
        <color rgb="FF000000"/>
        <rFont val="Calibri"/>
      </rPr>
      <t xml:space="preserve">The following password requirement should be set at a minimum: </t>
    </r>
    <r>
      <rPr>
        <sz val="11"/>
        <color rgb="FF000000"/>
        <rFont val="Calibri"/>
      </rPr>
      <t xml:space="preserve">
</t>
    </r>
    <r>
      <rPr>
        <sz val="11"/>
        <color rgb="FF000000"/>
        <rFont val="Calibri"/>
      </rPr>
      <t xml:space="preserve">Minimum Length: 15 </t>
    </r>
    <r>
      <rPr>
        <sz val="11"/>
        <color rgb="FF000000"/>
        <rFont val="Calibri"/>
      </rPr>
      <t xml:space="preserve">
</t>
    </r>
    <r>
      <rPr>
        <sz val="11"/>
        <color rgb="FF000000"/>
        <rFont val="Calibri"/>
      </rPr>
      <t>If this password policy is not configured as stated, this is a finding.</t>
    </r>
  </si>
  <si>
    <t>V-216860</t>
  </si>
  <si>
    <r>
      <rPr>
        <sz val="11"/>
        <rFont val="Calibri"/>
      </rPr>
      <t>The vCenter Server for Windows passwords must contain at least one uppercase character.</t>
    </r>
  </si>
  <si>
    <r>
      <rPr>
        <sz val="11"/>
        <color rgb="FF000000"/>
        <rFont val="Calibri"/>
      </rPr>
      <t>From the vSphere Web Client go to Administration &gt;&gt; Single Sign-On &gt;&gt; Configuration &gt;&gt; Policies &gt;&gt; Password Policy. Click "Edit". Set Upper-case Characters to at least "1" and click "OK".</t>
    </r>
  </si>
  <si>
    <r>
      <rPr>
        <sz val="11"/>
        <color rgb="FF000000"/>
        <rFont val="Calibri"/>
      </rPr>
      <t xml:space="preserve">From the vSphere Web Client go to Administration &gt;&gt; Single Sign-On &gt;&gt; Configuration &gt;&gt; Policies &gt;&gt; Password Policy. </t>
    </r>
    <r>
      <rPr>
        <sz val="11"/>
        <color rgb="FF000000"/>
        <rFont val="Calibri"/>
      </rPr>
      <t xml:space="preserve">
</t>
    </r>
    <r>
      <rPr>
        <sz val="11"/>
        <color rgb="FF000000"/>
        <rFont val="Calibri"/>
      </rPr>
      <t xml:space="preserve">View the values of the password format requirements. </t>
    </r>
    <r>
      <rPr>
        <sz val="11"/>
        <color rgb="FF000000"/>
        <rFont val="Calibri"/>
      </rPr>
      <t xml:space="preserve">
</t>
    </r>
    <r>
      <rPr>
        <sz val="11"/>
        <color rgb="FF000000"/>
        <rFont val="Calibri"/>
      </rPr>
      <t xml:space="preserve">The following password requirement should be set at a minimum: </t>
    </r>
    <r>
      <rPr>
        <sz val="11"/>
        <color rgb="FF000000"/>
        <rFont val="Calibri"/>
      </rPr>
      <t xml:space="preserve">
</t>
    </r>
    <r>
      <rPr>
        <sz val="11"/>
        <color rgb="FF000000"/>
        <rFont val="Calibri"/>
      </rPr>
      <t xml:space="preserve">Upper-case Characters: At least 1 </t>
    </r>
    <r>
      <rPr>
        <sz val="11"/>
        <color rgb="FF000000"/>
        <rFont val="Calibri"/>
      </rPr>
      <t xml:space="preserve">
</t>
    </r>
    <r>
      <rPr>
        <sz val="11"/>
        <color rgb="FF000000"/>
        <rFont val="Calibri"/>
      </rPr>
      <t>If this password complexity policy is not configured as stated, this is a finding.</t>
    </r>
  </si>
  <si>
    <t>V-216861</t>
  </si>
  <si>
    <r>
      <rPr>
        <sz val="11"/>
        <rFont val="Calibri"/>
      </rPr>
      <t>The vCenter Server for Windows passwords must contain at least one lowercase character.</t>
    </r>
  </si>
  <si>
    <r>
      <rPr>
        <sz val="11"/>
        <color rgb="FF000000"/>
        <rFont val="Calibri"/>
      </rPr>
      <t>From the vSphere Web Client go to Administration &gt;&gt; Single Sign-On &gt;&gt; Configuration &gt;&gt; Policies &gt;&gt; Password Policy. Click "Edit". Set Lower-case Characters to at least "1" and click "OK".</t>
    </r>
  </si>
  <si>
    <r>
      <rPr>
        <sz val="11"/>
        <color rgb="FF000000"/>
        <rFont val="Calibri"/>
      </rPr>
      <t xml:space="preserve">From the vSphere Web Client go to Administration &gt;&gt; Single Sign-On &gt;&gt; Configuration &gt;&gt; Policies &gt;&gt; Password Policy. </t>
    </r>
    <r>
      <rPr>
        <sz val="11"/>
        <color rgb="FF000000"/>
        <rFont val="Calibri"/>
      </rPr>
      <t xml:space="preserve">
</t>
    </r>
    <r>
      <rPr>
        <sz val="11"/>
        <color rgb="FF000000"/>
        <rFont val="Calibri"/>
      </rPr>
      <t xml:space="preserve">View the values of the password format requirements. </t>
    </r>
    <r>
      <rPr>
        <sz val="11"/>
        <color rgb="FF000000"/>
        <rFont val="Calibri"/>
      </rPr>
      <t xml:space="preserve">
</t>
    </r>
    <r>
      <rPr>
        <sz val="11"/>
        <color rgb="FF000000"/>
        <rFont val="Calibri"/>
      </rPr>
      <t xml:space="preserve">The following password requirement should be set at a minimum: </t>
    </r>
    <r>
      <rPr>
        <sz val="11"/>
        <color rgb="FF000000"/>
        <rFont val="Calibri"/>
      </rPr>
      <t xml:space="preserve">
</t>
    </r>
    <r>
      <rPr>
        <sz val="11"/>
        <color rgb="FF000000"/>
        <rFont val="Calibri"/>
      </rPr>
      <t xml:space="preserve">Lower-case Characters: At least 1 </t>
    </r>
    <r>
      <rPr>
        <sz val="11"/>
        <color rgb="FF000000"/>
        <rFont val="Calibri"/>
      </rPr>
      <t xml:space="preserve">
</t>
    </r>
    <r>
      <rPr>
        <sz val="11"/>
        <color rgb="FF000000"/>
        <rFont val="Calibri"/>
      </rPr>
      <t>If this password complexity policy is not configured as stated, this is a finding.</t>
    </r>
  </si>
  <si>
    <t>V-216862</t>
  </si>
  <si>
    <r>
      <rPr>
        <sz val="11"/>
        <rFont val="Calibri"/>
      </rPr>
      <t>The vCenter Server for Windows passwords must contain at least one numeric character.</t>
    </r>
  </si>
  <si>
    <r>
      <rPr>
        <sz val="11"/>
        <color rgb="FF000000"/>
        <rFont val="Calibri"/>
      </rPr>
      <t>From the vSphere Web Client go to Administration &gt;&gt; Single Sign-On &gt;&gt; Configuration &gt;&gt; Policies &gt;&gt; Password Policy. Click "Edit". Set Numeric Characters to at least "1" and click "OK".</t>
    </r>
  </si>
  <si>
    <r>
      <rPr>
        <sz val="11"/>
        <color rgb="FF000000"/>
        <rFont val="Calibri"/>
      </rPr>
      <t xml:space="preserve">From the vSphere Web Client go to Administration &gt;&gt; Single Sign-On &gt;&gt; Configuration &gt;&gt; Policies &gt;&gt; Password Policy. </t>
    </r>
    <r>
      <rPr>
        <sz val="11"/>
        <color rgb="FF000000"/>
        <rFont val="Calibri"/>
      </rPr>
      <t xml:space="preserve">
</t>
    </r>
    <r>
      <rPr>
        <sz val="11"/>
        <color rgb="FF000000"/>
        <rFont val="Calibri"/>
      </rPr>
      <t xml:space="preserve">View the values of the password format requirements. </t>
    </r>
    <r>
      <rPr>
        <sz val="11"/>
        <color rgb="FF000000"/>
        <rFont val="Calibri"/>
      </rPr>
      <t xml:space="preserve">
</t>
    </r>
    <r>
      <rPr>
        <sz val="11"/>
        <color rgb="FF000000"/>
        <rFont val="Calibri"/>
      </rPr>
      <t xml:space="preserve">The following password requirement should be set at a minimum: </t>
    </r>
    <r>
      <rPr>
        <sz val="11"/>
        <color rgb="FF000000"/>
        <rFont val="Calibri"/>
      </rPr>
      <t xml:space="preserve">
</t>
    </r>
    <r>
      <rPr>
        <sz val="11"/>
        <color rgb="FF000000"/>
        <rFont val="Calibri"/>
      </rPr>
      <t xml:space="preserve">Numeric Characters: At least 1 </t>
    </r>
    <r>
      <rPr>
        <sz val="11"/>
        <color rgb="FF000000"/>
        <rFont val="Calibri"/>
      </rPr>
      <t xml:space="preserve">
</t>
    </r>
    <r>
      <rPr>
        <sz val="11"/>
        <color rgb="FF000000"/>
        <rFont val="Calibri"/>
      </rPr>
      <t>If this password complexity policy is not configured as stated, this is a finding.</t>
    </r>
  </si>
  <si>
    <t>V-216863</t>
  </si>
  <si>
    <r>
      <rPr>
        <sz val="11"/>
        <rFont val="Calibri"/>
      </rPr>
      <t>The vCenter Server for Windows passwords must contain at least one special character.</t>
    </r>
  </si>
  <si>
    <r>
      <rPr>
        <sz val="11"/>
        <color rgb="FF000000"/>
        <rFont val="Calibri"/>
      </rPr>
      <t>From the vSphere Web Client go to Administration &gt;&gt; Single Sign-On &gt;&gt; Configuration &gt;&gt; Policies &gt;&gt; Password Policy. Click "Edit". Set Special Characters to at least "1" and click "OK".</t>
    </r>
  </si>
  <si>
    <r>
      <rPr>
        <sz val="11"/>
        <color rgb="FF000000"/>
        <rFont val="Calibri"/>
      </rPr>
      <t xml:space="preserve">From the vSphere Web Client go to Administration &gt;&gt; Single Sign-On &gt;&gt; Configuration &gt;&gt; Policies &gt;&gt; Password Policy. </t>
    </r>
    <r>
      <rPr>
        <sz val="11"/>
        <color rgb="FF000000"/>
        <rFont val="Calibri"/>
      </rPr>
      <t xml:space="preserve">
</t>
    </r>
    <r>
      <rPr>
        <sz val="11"/>
        <color rgb="FF000000"/>
        <rFont val="Calibri"/>
      </rPr>
      <t xml:space="preserve">View the values of the password format requirements. </t>
    </r>
    <r>
      <rPr>
        <sz val="11"/>
        <color rgb="FF000000"/>
        <rFont val="Calibri"/>
      </rPr>
      <t xml:space="preserve">
</t>
    </r>
    <r>
      <rPr>
        <sz val="11"/>
        <color rgb="FF000000"/>
        <rFont val="Calibri"/>
      </rPr>
      <t xml:space="preserve">The following password requirements should be set at a minimum: </t>
    </r>
    <r>
      <rPr>
        <sz val="11"/>
        <color rgb="FF000000"/>
        <rFont val="Calibri"/>
      </rPr>
      <t xml:space="preserve">
</t>
    </r>
    <r>
      <rPr>
        <sz val="11"/>
        <color rgb="FF000000"/>
        <rFont val="Calibri"/>
      </rPr>
      <t xml:space="preserve">Special Characters: At least 1 </t>
    </r>
    <r>
      <rPr>
        <sz val="11"/>
        <color rgb="FF000000"/>
        <rFont val="Calibri"/>
      </rPr>
      <t xml:space="preserve">
</t>
    </r>
    <r>
      <rPr>
        <sz val="11"/>
        <color rgb="FF000000"/>
        <rFont val="Calibri"/>
      </rPr>
      <t>If this password complexity policy is not configured as stated, this is a finding.</t>
    </r>
  </si>
  <si>
    <t>V-216864</t>
  </si>
  <si>
    <r>
      <rPr>
        <sz val="11"/>
        <rFont val="Calibri"/>
      </rPr>
      <t>The vCenter Server for Windows must limit the maximum number of failed login attempts to three.</t>
    </r>
  </si>
  <si>
    <r>
      <rPr>
        <sz val="11"/>
        <color rgb="FF000000"/>
        <rFont val="Calibri"/>
      </rPr>
      <t>From the vSphere Web Client go to Administration &gt;&gt; Single Sign-On &gt;&gt; Configuration &gt;&gt; Policies &gt;&gt; Lockout Policy. Click "Edit". Set the Maximum number of failed login attempts to "3" and click "OK".</t>
    </r>
  </si>
  <si>
    <r>
      <rPr>
        <sz val="11"/>
        <color rgb="FF000000"/>
        <rFont val="Calibri"/>
      </rPr>
      <t xml:space="preserve">From the vSphere Web Client go to Administration &gt;&gt; Single Sign-On &gt;&gt; Configuration &gt;&gt; Policies &gt;&gt; Lockout Policy. </t>
    </r>
    <r>
      <rPr>
        <sz val="11"/>
        <color rgb="FF000000"/>
        <rFont val="Calibri"/>
      </rPr>
      <t xml:space="preserve">
</t>
    </r>
    <r>
      <rPr>
        <sz val="11"/>
        <color rgb="FF000000"/>
        <rFont val="Calibri"/>
      </rPr>
      <t xml:space="preserve">View the values for the lockout policies. </t>
    </r>
    <r>
      <rPr>
        <sz val="11"/>
        <color rgb="FF000000"/>
        <rFont val="Calibri"/>
      </rPr>
      <t xml:space="preserve">
</t>
    </r>
    <r>
      <rPr>
        <sz val="11"/>
        <color rgb="FF000000"/>
        <rFont val="Calibri"/>
      </rPr>
      <t xml:space="preserve">The following lockout policy should be set at follows: </t>
    </r>
    <r>
      <rPr>
        <sz val="11"/>
        <color rgb="FF000000"/>
        <rFont val="Calibri"/>
      </rPr>
      <t xml:space="preserve">
</t>
    </r>
    <r>
      <rPr>
        <sz val="11"/>
        <color rgb="FF000000"/>
        <rFont val="Calibri"/>
      </rPr>
      <t xml:space="preserve">Maximum number of failed login attempts: 3 </t>
    </r>
    <r>
      <rPr>
        <sz val="11"/>
        <color rgb="FF000000"/>
        <rFont val="Calibri"/>
      </rPr>
      <t xml:space="preserve">
</t>
    </r>
    <r>
      <rPr>
        <sz val="11"/>
        <color rgb="FF000000"/>
        <rFont val="Calibri"/>
      </rPr>
      <t>If this account lockout policy is not configured as stated, this is a finding.</t>
    </r>
  </si>
  <si>
    <t>V-216865</t>
  </si>
  <si>
    <r>
      <rPr>
        <sz val="11"/>
        <rFont val="Calibri"/>
      </rPr>
      <t>The vCenter Server for Windows must set the interval for counting failed login attempts to at least 15 minutes.</t>
    </r>
  </si>
  <si>
    <r>
      <rPr>
        <sz val="11"/>
        <color rgb="FF000000"/>
        <rFont val="Calibri"/>
      </rPr>
      <t>From the vSphere Web Client go to Administration &gt;&gt; Single Sign-On &gt;&gt; Configuration &gt;&gt; Policies &gt;&gt; Lockout Policy. Click "Edit". Set the Time interval between failures to "900" and click "OK".</t>
    </r>
  </si>
  <si>
    <r>
      <rPr>
        <sz val="11"/>
        <color rgb="FF000000"/>
        <rFont val="Calibri"/>
      </rPr>
      <t xml:space="preserve">From the vSphere Web Client go to Administration &gt;&gt; Single Sign-On &gt;&gt; Configuration &gt;&gt; Policies &gt;&gt; Lockout Policy. </t>
    </r>
    <r>
      <rPr>
        <sz val="11"/>
        <color rgb="FF000000"/>
        <rFont val="Calibri"/>
      </rPr>
      <t xml:space="preserve">
</t>
    </r>
    <r>
      <rPr>
        <sz val="11"/>
        <color rgb="FF000000"/>
        <rFont val="Calibri"/>
      </rPr>
      <t xml:space="preserve">View the values for the lockout policies. </t>
    </r>
    <r>
      <rPr>
        <sz val="11"/>
        <color rgb="FF000000"/>
        <rFont val="Calibri"/>
      </rPr>
      <t xml:space="preserve">
</t>
    </r>
    <r>
      <rPr>
        <sz val="11"/>
        <color rgb="FF000000"/>
        <rFont val="Calibri"/>
      </rPr>
      <t xml:space="preserve">The following lockout policy should be set at follows: </t>
    </r>
    <r>
      <rPr>
        <sz val="11"/>
        <color rgb="FF000000"/>
        <rFont val="Calibri"/>
      </rPr>
      <t xml:space="preserve">
</t>
    </r>
    <r>
      <rPr>
        <sz val="11"/>
        <color rgb="FF000000"/>
        <rFont val="Calibri"/>
      </rPr>
      <t xml:space="preserve">Time interval between failures: 900 seconds </t>
    </r>
    <r>
      <rPr>
        <sz val="11"/>
        <color rgb="FF000000"/>
        <rFont val="Calibri"/>
      </rPr>
      <t xml:space="preserve">
</t>
    </r>
    <r>
      <rPr>
        <sz val="11"/>
        <color rgb="FF000000"/>
        <rFont val="Calibri"/>
      </rPr>
      <t>If this lockout policy is not configured as stated, this is a finding.</t>
    </r>
  </si>
  <si>
    <t>V-216866</t>
  </si>
  <si>
    <r>
      <rPr>
        <sz val="11"/>
        <rFont val="Calibri"/>
      </rPr>
      <t>The vCenter Server for Windows must require an administrator to unlock an account locked due to excessive login failures.</t>
    </r>
  </si>
  <si>
    <r>
      <rPr>
        <sz val="11"/>
        <color rgb="FF000000"/>
        <rFont val="Calibri"/>
      </rPr>
      <t>From the vSphere Web Client go to Administration &gt;&gt; Single Sign-On &gt;&gt; Configuration &gt;&gt; Policies &gt;&gt; Lockout Policy. Click "Edit". Set the Unlock time to "0" and click "OK".</t>
    </r>
  </si>
  <si>
    <r>
      <rPr>
        <sz val="11"/>
        <color rgb="FF000000"/>
        <rFont val="Calibri"/>
      </rPr>
      <t xml:space="preserve">From the vSphere Web Client go to Administration &gt;&gt; Single Sign-On &gt;&gt; Configuration &gt;&gt; Policies &gt;&gt; Lockout Policy. </t>
    </r>
    <r>
      <rPr>
        <sz val="11"/>
        <color rgb="FF000000"/>
        <rFont val="Calibri"/>
      </rPr>
      <t xml:space="preserve">
</t>
    </r>
    <r>
      <rPr>
        <sz val="11"/>
        <color rgb="FF000000"/>
        <rFont val="Calibri"/>
      </rPr>
      <t xml:space="preserve">View the values for the lockout policies. </t>
    </r>
    <r>
      <rPr>
        <sz val="11"/>
        <color rgb="FF000000"/>
        <rFont val="Calibri"/>
      </rPr>
      <t xml:space="preserve">
</t>
    </r>
    <r>
      <rPr>
        <sz val="11"/>
        <color rgb="FF000000"/>
        <rFont val="Calibri"/>
      </rPr>
      <t xml:space="preserve">The following lockout policy should be set at follows: </t>
    </r>
    <r>
      <rPr>
        <sz val="11"/>
        <color rgb="FF000000"/>
        <rFont val="Calibri"/>
      </rPr>
      <t xml:space="preserve">
</t>
    </r>
    <r>
      <rPr>
        <sz val="11"/>
        <color rgb="FF000000"/>
        <rFont val="Calibri"/>
      </rPr>
      <t xml:space="preserve">Unlock time: 0 </t>
    </r>
    <r>
      <rPr>
        <sz val="11"/>
        <color rgb="FF000000"/>
        <rFont val="Calibri"/>
      </rPr>
      <t xml:space="preserve">
</t>
    </r>
    <r>
      <rPr>
        <sz val="11"/>
        <color rgb="FF000000"/>
        <rFont val="Calibri"/>
      </rPr>
      <t>If this account lockout policy is not configured as stated, this is a finding.</t>
    </r>
  </si>
  <si>
    <t>V-216867</t>
  </si>
  <si>
    <r>
      <rPr>
        <sz val="11"/>
        <rFont val="Calibri"/>
      </rPr>
      <t>The vCenter Server for Windows must alert administrators on permission creation operations.</t>
    </r>
  </si>
  <si>
    <r>
      <rPr>
        <sz val="11"/>
        <color rgb="FF000000"/>
        <rFont val="Calibri"/>
      </rPr>
      <t>From the vSphere Web Client select the vCenter server at the top of the hierarchy and go to &gt;&gt; Alarms &gt;&gt; Definitions. Right-click in the empty space and select "New Alarm". On the "General" tab provide an alarm name and description, Select "vCenter Server" for alarm type and "Monitor for specific events occurring on this object", check "Enable this alarm". On the "Triggers" tab, click "Add" for a trigger and in the event column enter "vim.event.PermissionAddedEvent" and click "OK".</t>
    </r>
  </si>
  <si>
    <r>
      <rPr>
        <sz val="11"/>
        <color rgb="FF000000"/>
        <rFont val="Calibri"/>
      </rPr>
      <t>If personnel are not notified of permission events, they will not be aware of possible unsecure situations.</t>
    </r>
  </si>
  <si>
    <r>
      <rPr>
        <sz val="11"/>
        <color rgb="FF000000"/>
        <rFont val="Calibri"/>
      </rPr>
      <t xml:space="preserve">From the vSphere Web Client go to Host and Clusters &gt;&gt; Select a vCenter Server &gt;&gt; Monitor &gt;&gt; Issues &gt;&gt; Alarm Definitions. </t>
    </r>
    <r>
      <rPr>
        <sz val="11"/>
        <color rgb="FF000000"/>
        <rFont val="Calibri"/>
      </rPr>
      <t xml:space="preserve">
</t>
    </r>
    <r>
      <rPr>
        <sz val="11"/>
        <color rgb="FF000000"/>
        <rFont val="Calibri"/>
      </rPr>
      <t>Verify there is an alarm created to alert on permission additions.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Get-AlarmDefinition | Where {$_.ExtensionData.Info.Expression.Expression.EventTypeId -eq "vim.event.PermissionAddedEvent"} | Select Name,Enabled,@{N="EventTypeId";E={$_.ExtensionData.Info.Expression.Expression.EventTypeId}}</t>
    </r>
    <r>
      <rPr>
        <sz val="11"/>
        <color rgb="FF000000"/>
        <rFont val="Calibri"/>
      </rPr>
      <t xml:space="preserve">
</t>
    </r>
    <r>
      <rPr>
        <sz val="11"/>
        <color rgb="FF000000"/>
        <rFont val="Calibri"/>
      </rPr>
      <t>If an alarm is not created to alert on permission addition events, this is a finding.</t>
    </r>
  </si>
  <si>
    <t>V-216868</t>
  </si>
  <si>
    <r>
      <rPr>
        <sz val="11"/>
        <rFont val="Calibri"/>
      </rPr>
      <t>The vCenter Server for Windows must alert administrators on permission deletion operations.</t>
    </r>
  </si>
  <si>
    <r>
      <rPr>
        <sz val="11"/>
        <color rgb="FF000000"/>
        <rFont val="Calibri"/>
      </rPr>
      <t>From the vSphere Web Client select the vCenter server at the top of the hierarchy and go to &gt;&gt; Alarms &gt;&gt; Definitions. Right-click in the empty space and select "New Alarm". On the "General" tab provide an alarm name and description, Select "vCenter Server" for alarm type and "Monitor for specific events occurring on this object", check "Enable this alarm". On the "Triggers" tab, click "Add" for a trigger and in the event column enter "vim.event.PermissionRemovedEvent" and click "OK".</t>
    </r>
  </si>
  <si>
    <r>
      <rPr>
        <sz val="11"/>
        <color rgb="FF000000"/>
        <rFont val="Calibri"/>
      </rPr>
      <t xml:space="preserve">From the vSphere Web Client go to Host and Clusters &gt;&gt; Select a vCenter Server &gt;&gt; Monitor &gt;&gt; Issues &gt;&gt; Alarm Definitions. </t>
    </r>
    <r>
      <rPr>
        <sz val="11"/>
        <color rgb="FF000000"/>
        <rFont val="Calibri"/>
      </rPr>
      <t xml:space="preserve">
</t>
    </r>
    <r>
      <rPr>
        <sz val="11"/>
        <color rgb="FF000000"/>
        <rFont val="Calibri"/>
      </rPr>
      <t>Verify there is an alarm created to alert on permission additions.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Get-AlarmDefinition | Where {$_.ExtensionData.Info.Expression.Expression.EventTypeId -eq "vim.event.PermissionRemovedEvent"} | Select Name,Enabled,@{N="EventTypeId";E={$_.ExtensionData.Info.Expression.Expression.EventTypeId}}</t>
    </r>
    <r>
      <rPr>
        <sz val="11"/>
        <color rgb="FF000000"/>
        <rFont val="Calibri"/>
      </rPr>
      <t xml:space="preserve">
</t>
    </r>
    <r>
      <rPr>
        <sz val="11"/>
        <color rgb="FF000000"/>
        <rFont val="Calibri"/>
      </rPr>
      <t>If an alarm is not created to alert on permission addition events, this is a finding.</t>
    </r>
  </si>
  <si>
    <t>V-216869</t>
  </si>
  <si>
    <r>
      <rPr>
        <sz val="11"/>
        <rFont val="Calibri"/>
      </rPr>
      <t>The vCenter Server for Windows must alert administrators on permission update operations.</t>
    </r>
  </si>
  <si>
    <r>
      <rPr>
        <sz val="11"/>
        <color rgb="FF000000"/>
        <rFont val="Calibri"/>
      </rPr>
      <t>From the vSphere Web Client select the vCenter server at the top of the hierarchy and go to &gt;&gt; Alarms &gt;&gt; Definitions. Right-click in the empty space and select "New Alarm". On the "General" tab provide an alarm name and description, Select "vCenter Server" for alarm type and "Monitor for specific events occurring on this object", check "Enable this alarm". On the "Triggers" tab, click "Add" for a trigger and in the event column enter "vim.event.PermissionUpdatedEvent" and click "OK".</t>
    </r>
  </si>
  <si>
    <r>
      <rPr>
        <sz val="11"/>
        <color rgb="FF000000"/>
        <rFont val="Calibri"/>
      </rPr>
      <t xml:space="preserve">"From the vSphere Web Client go to Host and Clusters &gt;&gt; Select a vCenter Server &gt;&gt; Monitor &gt;&gt; Issues &gt;&gt; Alarm Definitions. </t>
    </r>
    <r>
      <rPr>
        <sz val="11"/>
        <color rgb="FF000000"/>
        <rFont val="Calibri"/>
      </rPr>
      <t xml:space="preserve">
</t>
    </r>
    <r>
      <rPr>
        <sz val="11"/>
        <color rgb="FF000000"/>
        <rFont val="Calibri"/>
      </rPr>
      <t>Verify there is an alarm created to alert on permission additions.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Get-AlarmDefinition | Where {$_.ExtensionData.Info.Expression.Expression.EventTypeId -eq ""vim.event.PermissionUpdatedEvent""} | Select Name,Enabled,@{N=""EventTypeId"";E={$_.ExtensionData.Info.Expression.Expression.EventTypeId}}</t>
    </r>
    <r>
      <rPr>
        <sz val="11"/>
        <color rgb="FF000000"/>
        <rFont val="Calibri"/>
      </rPr>
      <t xml:space="preserve">
</t>
    </r>
    <r>
      <rPr>
        <sz val="11"/>
        <color rgb="FF000000"/>
        <rFont val="Calibri"/>
      </rPr>
      <t>If an alarm is not created to alert on permission addition events, this is a finding."</t>
    </r>
  </si>
  <si>
    <t>V-216870</t>
  </si>
  <si>
    <r>
      <rPr>
        <sz val="11"/>
        <color rgb="FF000000"/>
        <rFont val="Calibri"/>
      </rPr>
      <t>To create a new role with specific permissions do the following:</t>
    </r>
    <r>
      <rPr>
        <sz val="11"/>
        <color rgb="FF000000"/>
        <rFont val="Calibri"/>
      </rPr>
      <t xml:space="preserve">
</t>
    </r>
    <r>
      <rPr>
        <sz val="11"/>
        <color rgb="FF000000"/>
        <rFont val="Calibri"/>
      </rPr>
      <t>From the vSphere Web Client go to Administration &gt;&gt; Access Control &gt;&gt; Roles. Click the green plus sign and enter a name for the role and select only the specific permissions required.  Users can then be assigned to the newly created role.</t>
    </r>
  </si>
  <si>
    <r>
      <rPr>
        <sz val="11"/>
        <color rgb="FF000000"/>
        <rFont val="Calibri"/>
      </rPr>
      <t xml:space="preserve">From the vSphere Web Client go to Administration &gt;&gt; Access Control &gt;&gt; Roles.  </t>
    </r>
    <r>
      <rPr>
        <sz val="11"/>
        <color rgb="FF000000"/>
        <rFont val="Calibri"/>
      </rPr>
      <t xml:space="preserve">
</t>
    </r>
    <r>
      <rPr>
        <sz val="11"/>
        <color rgb="FF000000"/>
        <rFont val="Calibri"/>
      </rPr>
      <t>View each role and verify the users and/or groups assigned to it.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Get-VIPermission | Sort Role | Select Role,Principal,Entity,Propagate,IsGroup | FT -Auto</t>
    </r>
    <r>
      <rPr>
        <sz val="11"/>
        <color rgb="FF000000"/>
        <rFont val="Calibri"/>
      </rPr>
      <t xml:space="preserve">
</t>
    </r>
    <r>
      <rPr>
        <sz val="11"/>
        <color rgb="FF000000"/>
        <rFont val="Calibri"/>
      </rPr>
      <t>Application service account and user required privileges should be documented.</t>
    </r>
    <r>
      <rPr>
        <sz val="11"/>
        <color rgb="FF000000"/>
        <rFont val="Calibri"/>
      </rPr>
      <t xml:space="preserve">
</t>
    </r>
    <r>
      <rPr>
        <sz val="11"/>
        <color rgb="FF000000"/>
        <rFont val="Calibri"/>
      </rPr>
      <t>If any user or service account has more privileges than required, this is a finding.</t>
    </r>
  </si>
  <si>
    <t>V-216871</t>
  </si>
  <si>
    <r>
      <rPr>
        <sz val="11"/>
        <rFont val="Calibri"/>
      </rPr>
      <t>The vCenter Server for Windows must protect the confidentiality and integrity of transmitted information by isolating IP-based storage traffic.</t>
    </r>
  </si>
  <si>
    <r>
      <rPr>
        <sz val="11"/>
        <color rgb="FF000000"/>
        <rFont val="Calibri"/>
      </rPr>
      <t>Configuration of an IP-Based VMkernel will be unique to each environment but for example to modify the IP address and VLAN information to the correct network on a standard switch for an iSCSI VMkernel do the following:</t>
    </r>
    <r>
      <rPr>
        <sz val="11"/>
        <color rgb="FF000000"/>
        <rFont val="Calibri"/>
      </rPr>
      <t xml:space="preserve">
</t>
    </r>
    <r>
      <rPr>
        <sz val="11"/>
        <color rgb="FF000000"/>
        <rFont val="Calibri"/>
      </rPr>
      <t>From the vSphere Web Client select the ESXi host and go to Configure &gt;&gt; Networking &gt;&gt; VMkernel adapters. Select the Storage VMkernel (for any IP-based storage) and click the pencil icon &gt;&gt; On the Port properties tab uncheck everything (unless vSAN). On the IP Settings tab &gt;&gt; Enter the appropriate IP address and subnet information and click OK. Set the appropriate VLAN ID &gt;&gt; Configure &gt;&gt; Networking &gt;&gt; Virtual switches. Select the Storage portgroup (ISCSI, NFS, vSAN) and click the pencil icon &gt;&gt; On the properties tab, enter the appropriate VLAN ID and click OK.</t>
    </r>
  </si>
  <si>
    <r>
      <rPr>
        <sz val="11"/>
        <color rgb="FF000000"/>
        <rFont val="Calibri"/>
      </rPr>
      <t>Virtual machines might share virtual switches and VLANs with the IP-based storage configurations. IP-based storage includes vSAN, iSCSI, and NFS. This configuration might expose IP-based storage traffic to unauthorized virtual machine users. IP-based storage frequently is not encrypted. It can be viewed by anyone with access to this network. To restrict unauthorized users from viewing the IP-based storage traffic, the IP-based storage network must be logically separated from the production traffic. Configuring the IP-based storage adaptors on separate VLANs or network segments from other VMkernels and Virtual Machines will limit unauthorized users from viewing the traffic.</t>
    </r>
  </si>
  <si>
    <r>
      <rPr>
        <sz val="11"/>
        <color rgb="FF000000"/>
        <rFont val="Calibri"/>
      </rPr>
      <t>If IP-based storage is not used, this is not applicable.</t>
    </r>
    <r>
      <rPr>
        <sz val="11"/>
        <color rgb="FF000000"/>
        <rFont val="Calibri"/>
      </rPr>
      <t xml:space="preserve">
</t>
    </r>
    <r>
      <rPr>
        <sz val="11"/>
        <color rgb="FF000000"/>
        <rFont val="Calibri"/>
      </rPr>
      <t>IP-Based storage (iSCSI, NFS, vSAN) VMkernel port groups must be in a dedicated VLAN that can be on a common standard or distributed virtual switch that is logically separated from other traffic types. The check for this will be unique per environment. From the vSphere Client select the ESXi host and go to Configure &gt;&gt; Networking &gt;&gt; VMkernel adapters and review the VLANs associated with any IP-Based storage VMkernels and verify they are dedicated for that purpose and are logically separated from other functions.</t>
    </r>
    <r>
      <rPr>
        <sz val="11"/>
        <color rgb="FF000000"/>
        <rFont val="Calibri"/>
      </rPr>
      <t xml:space="preserve">
</t>
    </r>
    <r>
      <rPr>
        <sz val="11"/>
        <color rgb="FF000000"/>
        <rFont val="Calibri"/>
      </rPr>
      <t>If any IP-Based storage networks are not isolated from other traffic types, this is a finding.</t>
    </r>
  </si>
  <si>
    <t>V-216872</t>
  </si>
  <si>
    <r>
      <rPr>
        <sz val="11"/>
        <rFont val="Calibri"/>
      </rPr>
      <t>The vCenter Server for Windows must enable the vSAN Health Check.</t>
    </r>
  </si>
  <si>
    <r>
      <rPr>
        <sz val="11"/>
        <color rgb="FF000000"/>
        <rFont val="Calibri"/>
      </rPr>
      <t>From the vSphere Web Client go to Host and Clusters &gt;&gt; Select a vSAN Enabled Cluster &gt;&gt; Manage &gt;&gt; Configure &gt;&gt; Virtual SAN &gt;&gt; Health and Performance &gt;&gt; "Health Service" and click "Edit Settings". Select the check box for "Turn On Periodical Health Check" and configure the time interval as necessary.</t>
    </r>
  </si>
  <si>
    <r>
      <rPr>
        <sz val="11"/>
        <color rgb="FF000000"/>
        <rFont val="Calibri"/>
      </rPr>
      <t>The vSAN Health Check is used for additional alerting capabilities, performance stress testing prior to production usage, and verifying that the underlying hardware officially is supported by being in compliance with the vSAN Hardware Compatibility Guide</t>
    </r>
  </si>
  <si>
    <r>
      <rPr>
        <sz val="11"/>
        <color rgb="FF000000"/>
        <rFont val="Calibri"/>
      </rPr>
      <t>If no clusters are enabled for vSAN, this is not applicable.</t>
    </r>
    <r>
      <rPr>
        <sz val="11"/>
        <color rgb="FF000000"/>
        <rFont val="Calibri"/>
      </rPr>
      <t xml:space="preserve">
</t>
    </r>
    <r>
      <rPr>
        <sz val="11"/>
        <color rgb="FF000000"/>
        <rFont val="Calibri"/>
      </rPr>
      <t>From the vSphere Web Client go to Host and Clusters &gt;&gt; Select a vSAN Enabled Cluster &gt;&gt; Manage &gt;&gt; Configure &gt;&gt; Virtual SAN &gt;&gt; Health and Performance. Review the "Health Service Status" and verify that it is set to "Enabled".</t>
    </r>
    <r>
      <rPr>
        <sz val="11"/>
        <color rgb="FF000000"/>
        <rFont val="Calibri"/>
      </rPr>
      <t xml:space="preserve">
</t>
    </r>
    <r>
      <rPr>
        <sz val="11"/>
        <color rgb="FF000000"/>
        <rFont val="Calibri"/>
      </rPr>
      <t>If vSAN is enabled and there is no vSAN health check installed or the vSAN Health Check is disabled, this is a finding.</t>
    </r>
  </si>
  <si>
    <t>V-216873</t>
  </si>
  <si>
    <r>
      <rPr>
        <sz val="11"/>
        <rFont val="Calibri"/>
      </rPr>
      <t>The vCenter Server for Windows must disable or restrict the connectivity between vSAN Health Check and public Hardware Compatibility List by use of an external proxy server.</t>
    </r>
  </si>
  <si>
    <r>
      <rPr>
        <sz val="11"/>
        <color rgb="FF000000"/>
        <rFont val="Calibri"/>
      </rPr>
      <t>From the vSphere Web Client go to Host and Clusters &gt;&gt; Select a vSAN Enabled Cluster &gt;&gt; Manage &gt;&gt; Configure &gt;&gt; Virtual SAN &gt;&gt; General &gt;&gt; Internet Connectivity &gt;&gt; Edit</t>
    </r>
    <r>
      <rPr>
        <sz val="11"/>
        <color rgb="FF000000"/>
        <rFont val="Calibri"/>
      </rPr>
      <t xml:space="preserve">
</t>
    </r>
    <r>
      <rPr>
        <sz val="11"/>
        <color rgb="FF000000"/>
        <rFont val="Calibri"/>
      </rPr>
      <t>If the HCL internet download is not required then ensure that "Enable Internet access for this cluster" is disabled.</t>
    </r>
    <r>
      <rPr>
        <sz val="11"/>
        <color rgb="FF000000"/>
        <rFont val="Calibri"/>
      </rPr>
      <t xml:space="preserve">
</t>
    </r>
    <r>
      <rPr>
        <sz val="11"/>
        <color rgb="FF000000"/>
        <rFont val="Calibri"/>
      </rPr>
      <t>If the HCL internet download is required then ensure that "Enable Internet access for this cluster" is enabled and that a proxy host is appropriately configured.</t>
    </r>
  </si>
  <si>
    <r>
      <rPr>
        <sz val="11"/>
        <color rgb="FF000000"/>
        <rFont val="Calibri"/>
      </rPr>
      <t>The vSAN Health Check is able to download the hardware compatibility list from VMware in order to check compliance against the underlying vSAN Cluster hosts. To ensure the vCenter server is not directly downloading content from the internet this functionality must be disabled or if this feature is necessary an external proxy server must be configured.</t>
    </r>
  </si>
  <si>
    <r>
      <rPr>
        <sz val="11"/>
        <color rgb="FF000000"/>
        <rFont val="Calibri"/>
      </rPr>
      <t>If no clusters are enabled for vSAN, this is not applicable.</t>
    </r>
    <r>
      <rPr>
        <sz val="11"/>
        <color rgb="FF000000"/>
        <rFont val="Calibri"/>
      </rPr>
      <t xml:space="preserve">
</t>
    </r>
    <r>
      <rPr>
        <sz val="11"/>
        <color rgb="FF000000"/>
        <rFont val="Calibri"/>
      </rPr>
      <t>From the vSphere Web Client go to Host and Clusters &gt;&gt; Select a vSAN Enabled Cluster &gt;&gt; Manage &gt;&gt; Configure &gt;&gt; Virtual SAN &gt;&gt; General &gt;&gt; Internet Connectivity &gt;&gt; Edit</t>
    </r>
    <r>
      <rPr>
        <sz val="11"/>
        <color rgb="FF000000"/>
        <rFont val="Calibri"/>
      </rPr>
      <t xml:space="preserve">
</t>
    </r>
    <r>
      <rPr>
        <sz val="11"/>
        <color rgb="FF000000"/>
        <rFont val="Calibri"/>
      </rPr>
      <t xml:space="preserve">If the HCL internet download is not required then ensure that "Enable Internet access for this cluster" is disabled. </t>
    </r>
    <r>
      <rPr>
        <sz val="11"/>
        <color rgb="FF000000"/>
        <rFont val="Calibri"/>
      </rPr>
      <t xml:space="preserve">
</t>
    </r>
    <r>
      <rPr>
        <sz val="11"/>
        <color rgb="FF000000"/>
        <rFont val="Calibri"/>
      </rPr>
      <t>If this "Enable Internet access for this cluster" is enabled, this is a finding.</t>
    </r>
    <r>
      <rPr>
        <sz val="11"/>
        <color rgb="FF000000"/>
        <rFont val="Calibri"/>
      </rPr>
      <t xml:space="preserve">
</t>
    </r>
    <r>
      <rPr>
        <sz val="11"/>
        <color rgb="FF000000"/>
        <rFont val="Calibri"/>
      </rPr>
      <t xml:space="preserve">If the HCL internet download is required then ensure that "Enable Internet access for this cluster" is enabled and that a proxy host is configured. </t>
    </r>
    <r>
      <rPr>
        <sz val="11"/>
        <color rgb="FF000000"/>
        <rFont val="Calibri"/>
      </rPr>
      <t xml:space="preserve">
</t>
    </r>
    <r>
      <rPr>
        <sz val="11"/>
        <color rgb="FF000000"/>
        <rFont val="Calibri"/>
      </rPr>
      <t>If "Enable Internet access for this cluster" is disabled or a proxy is not configured, this is a finding.</t>
    </r>
  </si>
  <si>
    <t>V-216874</t>
  </si>
  <si>
    <r>
      <rPr>
        <sz val="11"/>
        <rFont val="Calibri"/>
      </rPr>
      <t>The vCenter Server for Windows must configure the vSAN Datastore name to a unique name.</t>
    </r>
  </si>
  <si>
    <r>
      <rPr>
        <sz val="11"/>
        <color rgb="FF000000"/>
        <rFont val="Calibri"/>
      </rPr>
      <t>From the vSphere Web Client go to Host and Clusters &gt;&gt; Select a vSAN Enabled Cluster &gt;&gt; Datastores. Right-click on the datastore named "vsanDatastore" and select "Rename". Rename the datastore based on operational naming standards.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If($(Get-Cluster | where {$_.VsanEnabled} | Measure).Count -gt 0){</t>
    </r>
    <r>
      <rPr>
        <sz val="11"/>
        <color rgb="FF000000"/>
        <rFont val="Calibri"/>
      </rPr>
      <t xml:space="preserve">
</t>
    </r>
    <r>
      <rPr>
        <sz val="11"/>
        <color rgb="FF000000"/>
        <rFont val="Calibri"/>
      </rPr>
      <t>Write-Host "vSAN Enabled Cluster found"</t>
    </r>
    <r>
      <rPr>
        <sz val="11"/>
        <color rgb="FF000000"/>
        <rFont val="Calibri"/>
      </rPr>
      <t xml:space="preserve">
</t>
    </r>
    <r>
      <rPr>
        <sz val="11"/>
        <color rgb="FF000000"/>
        <rFont val="Calibri"/>
      </rPr>
      <t xml:space="preserve">$Clusters = Get-Cluster | where {$_.VsanEnabled} </t>
    </r>
    <r>
      <rPr>
        <sz val="11"/>
        <color rgb="FF000000"/>
        <rFont val="Calibri"/>
      </rPr>
      <t xml:space="preserve">
</t>
    </r>
    <r>
      <rPr>
        <sz val="11"/>
        <color rgb="FF000000"/>
        <rFont val="Calibri"/>
      </rPr>
      <t>Foreach ($clus in $clusters){</t>
    </r>
    <r>
      <rPr>
        <sz val="11"/>
        <color rgb="FF000000"/>
        <rFont val="Calibri"/>
      </rPr>
      <t xml:space="preserve">
</t>
    </r>
    <r>
      <rPr>
        <sz val="11"/>
        <color rgb="FF000000"/>
        <rFont val="Calibri"/>
      </rPr>
      <t xml:space="preserve"> $clus | Get-Datastore | where {$_.type -match "vsan"} | Set-Datastore -Name $(($clus.name) + "_vSAN_Datastore")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else{</t>
    </r>
    <r>
      <rPr>
        <sz val="11"/>
        <color rgb="FF000000"/>
        <rFont val="Calibri"/>
      </rPr>
      <t xml:space="preserve">
</t>
    </r>
    <r>
      <rPr>
        <sz val="11"/>
        <color rgb="FF000000"/>
        <rFont val="Calibri"/>
      </rPr>
      <t>Write-Host "vSAN is not enabled, this finding is not applicable"</t>
    </r>
    <r>
      <rPr>
        <sz val="11"/>
        <color rgb="FF000000"/>
        <rFont val="Calibri"/>
      </rPr>
      <t xml:space="preserve">
</t>
    </r>
    <r>
      <rPr>
        <sz val="11"/>
        <color rgb="FF000000"/>
        <rFont val="Calibri"/>
      </rPr>
      <t>}</t>
    </r>
  </si>
  <si>
    <r>
      <rPr>
        <sz val="11"/>
        <color rgb="FF000000"/>
        <rFont val="Calibri"/>
      </rPr>
      <t>A vSAN Datastore name by default is "vsanDatastore". If more than one vSAN cluster is present in vCenter both datastores will have the same name by default, potentially leading to confusion and manually misplaced workloads.</t>
    </r>
  </si>
  <si>
    <r>
      <rPr>
        <sz val="11"/>
        <color rgb="FF000000"/>
        <rFont val="Calibri"/>
      </rPr>
      <t>If no clusters are enabled for vSAN, this is not applicable.</t>
    </r>
    <r>
      <rPr>
        <sz val="11"/>
        <color rgb="FF000000"/>
        <rFont val="Calibri"/>
      </rPr>
      <t xml:space="preserve">
</t>
    </r>
    <r>
      <rPr>
        <sz val="11"/>
        <color rgb="FF000000"/>
        <rFont val="Calibri"/>
      </rPr>
      <t xml:space="preserve">From the vSphere Web Client go to Host and Clusters &gt;&gt; Select a vSAN Enabled Cluster &gt;&gt; Datastores. Review the datastores. </t>
    </r>
    <r>
      <rPr>
        <sz val="11"/>
        <color rgb="FF000000"/>
        <rFont val="Calibri"/>
      </rPr>
      <t xml:space="preserve">
</t>
    </r>
    <r>
      <rPr>
        <sz val="11"/>
        <color rgb="FF000000"/>
        <rFont val="Calibri"/>
      </rPr>
      <t>Identify any datastores with "vsan" as the datastore type.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If($(Get-Cluster | where {$_.VsanEnabled} | Measure).Count -gt 0){</t>
    </r>
    <r>
      <rPr>
        <sz val="11"/>
        <color rgb="FF000000"/>
        <rFont val="Calibri"/>
      </rPr>
      <t xml:space="preserve">
</t>
    </r>
    <r>
      <rPr>
        <sz val="11"/>
        <color rgb="FF000000"/>
        <rFont val="Calibri"/>
      </rPr>
      <t>Write-Host "vSAN Enabled Cluster found"</t>
    </r>
    <r>
      <rPr>
        <sz val="11"/>
        <color rgb="FF000000"/>
        <rFont val="Calibri"/>
      </rPr>
      <t xml:space="preserve">
</t>
    </r>
    <r>
      <rPr>
        <sz val="11"/>
        <color rgb="FF000000"/>
        <rFont val="Calibri"/>
      </rPr>
      <t>Get-Cluster | where {$_.VsanEnabled} | Get-Datastore | where {$_.type -match "vsan"}</t>
    </r>
    <r>
      <rPr>
        <sz val="11"/>
        <color rgb="FF000000"/>
        <rFont val="Calibri"/>
      </rPr>
      <t xml:space="preserve">
</t>
    </r>
    <r>
      <rPr>
        <sz val="11"/>
        <color rgb="FF000000"/>
        <rFont val="Calibri"/>
      </rPr>
      <t>}</t>
    </r>
    <r>
      <rPr>
        <sz val="11"/>
        <color rgb="FF000000"/>
        <rFont val="Calibri"/>
      </rPr>
      <t xml:space="preserve">
</t>
    </r>
    <r>
      <rPr>
        <sz val="11"/>
        <color rgb="FF000000"/>
        <rFont val="Calibri"/>
      </rPr>
      <t>else{</t>
    </r>
    <r>
      <rPr>
        <sz val="11"/>
        <color rgb="FF000000"/>
        <rFont val="Calibri"/>
      </rPr>
      <t xml:space="preserve">
</t>
    </r>
    <r>
      <rPr>
        <sz val="11"/>
        <color rgb="FF000000"/>
        <rFont val="Calibri"/>
      </rPr>
      <t>Write-Host "vSAN is not enabled, this finding is not applicable"</t>
    </r>
    <r>
      <rPr>
        <sz val="11"/>
        <color rgb="FF000000"/>
        <rFont val="Calibri"/>
      </rPr>
      <t xml:space="preserve">
</t>
    </r>
    <r>
      <rPr>
        <sz val="11"/>
        <color rgb="FF000000"/>
        <rFont val="Calibri"/>
      </rPr>
      <t>}</t>
    </r>
    <r>
      <rPr>
        <sz val="11"/>
        <color rgb="FF000000"/>
        <rFont val="Calibri"/>
      </rPr>
      <t xml:space="preserve">
</t>
    </r>
    <r>
      <rPr>
        <sz val="11"/>
        <color rgb="FF000000"/>
        <rFont val="Calibri"/>
      </rPr>
      <t>If vSAN is Enabled and the datastore is named "vsanDatastore", this is a finding.</t>
    </r>
  </si>
  <si>
    <t>V-216875</t>
  </si>
  <si>
    <t>V-216876</t>
  </si>
  <si>
    <r>
      <rPr>
        <sz val="11"/>
        <rFont val="Calibri"/>
      </rPr>
      <t>The vCenter Server for Windows must enable TLS 1.2 exclusively.</t>
    </r>
  </si>
  <si>
    <r>
      <rPr>
        <sz val="11"/>
        <color rgb="FF000000"/>
        <rFont val="Calibri"/>
      </rPr>
      <t>Download the VMware TLS Reconfigurator utility from my.vmware.com. Follow installation instructions for your vCenter platform according to VMware KB 2147469. Run the following commands.</t>
    </r>
    <r>
      <rPr>
        <sz val="11"/>
        <color rgb="FF000000"/>
        <rFont val="Calibri"/>
      </rPr>
      <t xml:space="preserve">
</t>
    </r>
    <r>
      <rPr>
        <sz val="11"/>
        <color rgb="FF000000"/>
        <rFont val="Calibri"/>
      </rPr>
      <t>Appliance:</t>
    </r>
    <r>
      <rPr>
        <sz val="11"/>
        <color rgb="FF000000"/>
        <rFont val="Calibri"/>
      </rPr>
      <t xml:space="preserve">
</t>
    </r>
    <r>
      <rPr>
        <sz val="11"/>
        <color rgb="FF000000"/>
        <rFont val="Calibri"/>
      </rPr>
      <t>1. /usr/lib/vmware-vSphereTlsReconfigurator/VcTlsReconfigurator/reconfigureVc backup</t>
    </r>
    <r>
      <rPr>
        <sz val="11"/>
        <color rgb="FF000000"/>
        <rFont val="Calibri"/>
      </rPr>
      <t xml:space="preserve">
</t>
    </r>
    <r>
      <rPr>
        <sz val="11"/>
        <color rgb="FF000000"/>
        <rFont val="Calibri"/>
      </rPr>
      <t>2. /usr/lib/vmware-vSphereTlsReconfigurator/VcTlsReconfigurator/reconfigureVc update -p TLS1.2</t>
    </r>
    <r>
      <rPr>
        <sz val="11"/>
        <color rgb="FF000000"/>
        <rFont val="Calibri"/>
      </rPr>
      <t xml:space="preserve">
</t>
    </r>
    <r>
      <rPr>
        <sz val="11"/>
        <color rgb="FF000000"/>
        <rFont val="Calibri"/>
      </rPr>
      <t>Windows:</t>
    </r>
    <r>
      <rPr>
        <sz val="11"/>
        <color rgb="FF000000"/>
        <rFont val="Calibri"/>
      </rPr>
      <t xml:space="preserve">
</t>
    </r>
    <r>
      <rPr>
        <sz val="11"/>
        <color rgb="FF000000"/>
        <rFont val="Calibri"/>
      </rPr>
      <t>1. Open a command prompt and cd to C:\Program Files\VMware\CIS\vSphereTlsReconfigurator\VcTlsReconfigurator</t>
    </r>
    <r>
      <rPr>
        <sz val="11"/>
        <color rgb="FF000000"/>
        <rFont val="Calibri"/>
      </rPr>
      <t xml:space="preserve">
</t>
    </r>
    <r>
      <rPr>
        <sz val="11"/>
        <color rgb="FF000000"/>
        <rFont val="Calibri"/>
      </rPr>
      <t>2. Enter command "reconfigureVc backup" and press "Enter"</t>
    </r>
    <r>
      <rPr>
        <sz val="11"/>
        <color rgb="FF000000"/>
        <rFont val="Calibri"/>
      </rPr>
      <t xml:space="preserve">
</t>
    </r>
    <r>
      <rPr>
        <sz val="11"/>
        <color rgb="FF000000"/>
        <rFont val="Calibri"/>
      </rPr>
      <t>3. Enter command "reconfigureVc update -p TLS1.2" and press "Enter"</t>
    </r>
    <r>
      <rPr>
        <sz val="11"/>
        <color rgb="FF000000"/>
        <rFont val="Calibri"/>
      </rPr>
      <t xml:space="preserve">
</t>
    </r>
    <r>
      <rPr>
        <sz val="11"/>
        <color rgb="FF000000"/>
        <rFont val="Calibri"/>
      </rPr>
      <t>vCenter services will be restarted as part of the reconfiguration, the OS will not be restarted. You can add the --no-restart flag to restart services at a later time. Changes will not take effect until all services are restarted or the machine is rebooted.</t>
    </r>
  </si>
  <si>
    <r>
      <rPr>
        <sz val="11"/>
        <color rgb="FF000000"/>
        <rFont val="Calibri"/>
      </rPr>
      <t>TLS 1.0 and 1.1 are deprecated protocols with well published shortcomings and vulnerabilities. TLS 1.2 should be disabled on all interfaces and TLS 1.1 and 1.0 disabled where supported. Mandating TLS 1.2 may break third party integrations and add-ons to vSphere. Test these integrations carefully after implementing TLS 1.2 and roll back where appropriate. On interfaces where required functionality is broken with TLS 1.2 this finding is N/A until such time as the third party software supports TLS 1.2.</t>
    </r>
    <r>
      <rPr>
        <sz val="11"/>
        <color rgb="FF000000"/>
        <rFont val="Calibri"/>
      </rPr>
      <t xml:space="preserve">
</t>
    </r>
    <r>
      <rPr>
        <sz val="11"/>
        <color rgb="FF000000"/>
        <rFont val="Calibri"/>
      </rPr>
      <t>Make sure you modify TLS settings in the following order: 1. Platform Services Controls (if applicable), 2. vCenter, 3. ESXi</t>
    </r>
  </si>
  <si>
    <r>
      <rPr>
        <sz val="11"/>
        <color rgb="FF000000"/>
        <rFont val="Calibri"/>
      </rPr>
      <t>Download the VMware TLS Reconfigurator utility from my.vmware.com. Follow installation instructions for your vCenter platform according to VMware KB 2147469.</t>
    </r>
    <r>
      <rPr>
        <sz val="11"/>
        <color rgb="FF000000"/>
        <rFont val="Calibri"/>
      </rPr>
      <t xml:space="preserve">
</t>
    </r>
    <r>
      <rPr>
        <sz val="11"/>
        <color rgb="FF000000"/>
        <rFont val="Calibri"/>
      </rPr>
      <t>Appliance:</t>
    </r>
    <r>
      <rPr>
        <sz val="11"/>
        <color rgb="FF000000"/>
        <rFont val="Calibri"/>
      </rPr>
      <t xml:space="preserve">
</t>
    </r>
    <r>
      <rPr>
        <sz val="11"/>
        <color rgb="FF000000"/>
        <rFont val="Calibri"/>
      </rPr>
      <t>1. /usr/lib/vmware-vSphereTlsReconfigurator/VcTlsReconfigurator/reconfigureVc backup</t>
    </r>
    <r>
      <rPr>
        <sz val="11"/>
        <color rgb="FF000000"/>
        <rFont val="Calibri"/>
      </rPr>
      <t xml:space="preserve">
</t>
    </r>
    <r>
      <rPr>
        <sz val="11"/>
        <color rgb="FF000000"/>
        <rFont val="Calibri"/>
      </rPr>
      <t>2. /usr/lib/vmware-vSphereTlsReconfigurator/VcTlsReconfigurator/reconfigureVc scan</t>
    </r>
    <r>
      <rPr>
        <sz val="11"/>
        <color rgb="FF000000"/>
        <rFont val="Calibri"/>
      </rPr>
      <t xml:space="preserve">
</t>
    </r>
    <r>
      <rPr>
        <sz val="11"/>
        <color rgb="FF000000"/>
        <rFont val="Calibri"/>
      </rPr>
      <t>Windows:</t>
    </r>
    <r>
      <rPr>
        <sz val="11"/>
        <color rgb="FF000000"/>
        <rFont val="Calibri"/>
      </rPr>
      <t xml:space="preserve">
</t>
    </r>
    <r>
      <rPr>
        <sz val="11"/>
        <color rgb="FF000000"/>
        <rFont val="Calibri"/>
      </rPr>
      <t>1. Open a command prompt and cd to C:\Program Files\VMware\CIS\vSphereTlsReconfigurator\VcTlsReconfigurator</t>
    </r>
    <r>
      <rPr>
        <sz val="11"/>
        <color rgb="FF000000"/>
        <rFont val="Calibri"/>
      </rPr>
      <t xml:space="preserve">
</t>
    </r>
    <r>
      <rPr>
        <sz val="11"/>
        <color rgb="FF000000"/>
        <rFont val="Calibri"/>
      </rPr>
      <t>2. Enter command "reconfigureVc scan" and press "Enter"</t>
    </r>
    <r>
      <rPr>
        <sz val="11"/>
        <color rgb="FF000000"/>
        <rFont val="Calibri"/>
      </rPr>
      <t xml:space="preserve">
</t>
    </r>
    <r>
      <rPr>
        <sz val="11"/>
        <color rgb="FF000000"/>
        <rFont val="Calibri"/>
      </rPr>
      <t>If the output indicates versions of TLS other than 1.2 are enabled, this is a finding.</t>
    </r>
  </si>
  <si>
    <t>V-216877</t>
  </si>
  <si>
    <r>
      <rPr>
        <sz val="11"/>
        <rFont val="Calibri"/>
      </rPr>
      <t>The vCenter Server for Windows reverse proxy must use DoD approved certificates.</t>
    </r>
  </si>
  <si>
    <r>
      <rPr>
        <sz val="11"/>
        <color rgb="FF000000"/>
        <rFont val="Calibri"/>
      </rPr>
      <t>Obtain a DoD issued certificate and private key for each vCenter and external PSC in the system, following the below requirements:</t>
    </r>
    <r>
      <rPr>
        <sz val="11"/>
        <color rgb="FF000000"/>
        <rFont val="Calibri"/>
      </rPr>
      <t xml:space="preserve">
</t>
    </r>
    <r>
      <rPr>
        <sz val="11"/>
        <color rgb="FF000000"/>
        <rFont val="Calibri"/>
      </rPr>
      <t>Key size: 2048 bits or more (PEM encoded)</t>
    </r>
    <r>
      <rPr>
        <sz val="11"/>
        <color rgb="FF000000"/>
        <rFont val="Calibri"/>
      </rPr>
      <t xml:space="preserve">
</t>
    </r>
    <r>
      <rPr>
        <sz val="11"/>
        <color rgb="FF000000"/>
        <rFont val="Calibri"/>
      </rPr>
      <t>CRT format (Base-64)</t>
    </r>
    <r>
      <rPr>
        <sz val="11"/>
        <color rgb="FF000000"/>
        <rFont val="Calibri"/>
      </rPr>
      <t xml:space="preserve">
</t>
    </r>
    <r>
      <rPr>
        <sz val="11"/>
        <color rgb="FF000000"/>
        <rFont val="Calibri"/>
      </rPr>
      <t>x509 version 3</t>
    </r>
    <r>
      <rPr>
        <sz val="11"/>
        <color rgb="FF000000"/>
        <rFont val="Calibri"/>
      </rPr>
      <t xml:space="preserve">
</t>
    </r>
    <r>
      <rPr>
        <sz val="11"/>
        <color rgb="FF000000"/>
        <rFont val="Calibri"/>
      </rPr>
      <t>SubjectAltName must contain DNS Name=&lt;machine_FQDN&gt;</t>
    </r>
    <r>
      <rPr>
        <sz val="11"/>
        <color rgb="FF000000"/>
        <rFont val="Calibri"/>
      </rPr>
      <t xml:space="preserve">
</t>
    </r>
    <r>
      <rPr>
        <sz val="11"/>
        <color rgb="FF000000"/>
        <rFont val="Calibri"/>
      </rPr>
      <t>Contains the following Key Usages: Digital Signature, Non Repudiation, Key Encipherment</t>
    </r>
    <r>
      <rPr>
        <sz val="11"/>
        <color rgb="FF000000"/>
        <rFont val="Calibri"/>
      </rPr>
      <t xml:space="preserve">
</t>
    </r>
    <r>
      <rPr>
        <sz val="11"/>
        <color rgb="FF000000"/>
        <rFont val="Calibri"/>
      </rPr>
      <t>Verify that the issued certificate includes the full issuing chain. If it does not, concatenate the Base-64 intermediates and root onto the issued machine ssl cert.</t>
    </r>
    <r>
      <rPr>
        <sz val="11"/>
        <color rgb="FF000000"/>
        <rFont val="Calibri"/>
      </rPr>
      <t xml:space="preserve">
</t>
    </r>
    <r>
      <rPr>
        <sz val="11"/>
        <color rgb="FF000000"/>
        <rFont val="Calibri"/>
      </rPr>
      <t>Export the entire certificate issuing chain up to the root in Base-64 format, concatenate the individual certs into one file that will be used in the next steps when prompted for the signing certificate.</t>
    </r>
    <r>
      <rPr>
        <sz val="11"/>
        <color rgb="FF000000"/>
        <rFont val="Calibri"/>
      </rPr>
      <t xml:space="preserve">
</t>
    </r>
    <r>
      <rPr>
        <sz val="11"/>
        <color rgb="FF000000"/>
        <rFont val="Calibri"/>
      </rPr>
      <t>Run the certificate-manager tool:</t>
    </r>
    <r>
      <rPr>
        <sz val="11"/>
        <color rgb="FF000000"/>
        <rFont val="Calibri"/>
      </rPr>
      <t xml:space="preserve">
</t>
    </r>
    <r>
      <rPr>
        <sz val="11"/>
        <color rgb="FF000000"/>
        <rFont val="Calibri"/>
      </rPr>
      <t>Appliance:</t>
    </r>
    <r>
      <rPr>
        <sz val="11"/>
        <color rgb="FF000000"/>
        <rFont val="Calibri"/>
      </rPr>
      <t xml:space="preserve">
</t>
    </r>
    <r>
      <rPr>
        <sz val="11"/>
        <color rgb="FF000000"/>
        <rFont val="Calibri"/>
      </rPr>
      <t>/usr/lib/vmware-vmca/bin/certificate-manager</t>
    </r>
    <r>
      <rPr>
        <sz val="11"/>
        <color rgb="FF000000"/>
        <rFont val="Calibri"/>
      </rPr>
      <t xml:space="preserve">
</t>
    </r>
    <r>
      <rPr>
        <sz val="11"/>
        <color rgb="FF000000"/>
        <rFont val="Calibri"/>
      </rPr>
      <t>Windows:</t>
    </r>
    <r>
      <rPr>
        <sz val="11"/>
        <color rgb="FF000000"/>
        <rFont val="Calibri"/>
      </rPr>
      <t xml:space="preserve">
</t>
    </r>
    <r>
      <rPr>
        <sz val="11"/>
        <color rgb="FF000000"/>
        <rFont val="Calibri"/>
      </rPr>
      <t>C:\Program Files\VMware\vCenter Server\vmcad\certificate-manager.bat</t>
    </r>
    <r>
      <rPr>
        <sz val="11"/>
        <color rgb="FF000000"/>
        <rFont val="Calibri"/>
      </rPr>
      <t xml:space="preserve">
</t>
    </r>
    <r>
      <rPr>
        <sz val="11"/>
        <color rgb="FF000000"/>
        <rFont val="Calibri"/>
      </rPr>
      <t>Select option "1" to replace the machine ssl certificate. Select option "2" to specify existing certificate and private key. Supply the information as prompted remembering the signing certificate file built up previously.</t>
    </r>
  </si>
  <si>
    <r>
      <rPr>
        <sz val="11"/>
        <color rgb="FF000000"/>
        <rFont val="Calibri"/>
      </rPr>
      <t>The default self-signed, VMCA issued vCenter reverse proxy certificate must be replaced with a DoD approved certificate. The use of a DoD certificate on the vCenter reverse proxy assures clients that the service they are connecting to is legitimate and properly secured.</t>
    </r>
  </si>
  <si>
    <r>
      <rPr>
        <sz val="11"/>
        <color rgb="FF000000"/>
        <rFont val="Calibri"/>
      </rPr>
      <t>From the vCenter server (and external PSC if appropriate) run the following command</t>
    </r>
    <r>
      <rPr>
        <sz val="11"/>
        <color rgb="FF000000"/>
        <rFont val="Calibri"/>
      </rPr>
      <t xml:space="preserve">
</t>
    </r>
    <r>
      <rPr>
        <sz val="11"/>
        <color rgb="FF000000"/>
        <rFont val="Calibri"/>
      </rPr>
      <t>Appliance:</t>
    </r>
    <r>
      <rPr>
        <sz val="11"/>
        <color rgb="FF000000"/>
        <rFont val="Calibri"/>
      </rPr>
      <t xml:space="preserve">
</t>
    </r>
    <r>
      <rPr>
        <sz val="11"/>
        <color rgb="FF000000"/>
        <rFont val="Calibri"/>
      </rPr>
      <t>/usr/lib/vmware-vmafd/bin/vecs-cli entry getcert --store machine_ssl_cert --alias __MACHINE_CERT --text|grep Issuer</t>
    </r>
    <r>
      <rPr>
        <sz val="11"/>
        <color rgb="FF000000"/>
        <rFont val="Calibri"/>
      </rPr>
      <t xml:space="preserve">
</t>
    </r>
    <r>
      <rPr>
        <sz val="11"/>
        <color rgb="FF000000"/>
        <rFont val="Calibri"/>
      </rPr>
      <t>Windows:</t>
    </r>
    <r>
      <rPr>
        <sz val="11"/>
        <color rgb="FF000000"/>
        <rFont val="Calibri"/>
      </rPr>
      <t xml:space="preserve">
</t>
    </r>
    <r>
      <rPr>
        <sz val="11"/>
        <color rgb="FF000000"/>
        <rFont val="Calibri"/>
      </rPr>
      <t>"C:\Program Files\VMware\vCenter Server\vmafdd\vecs-cli.exe" entry getcert --store machine_ssl_cert --alias __MACHINE_CERT --text|find "Issuer"</t>
    </r>
    <r>
      <rPr>
        <sz val="11"/>
        <color rgb="FF000000"/>
        <rFont val="Calibri"/>
      </rPr>
      <t xml:space="preserve">
</t>
    </r>
    <r>
      <rPr>
        <sz val="11"/>
        <color rgb="FF000000"/>
        <rFont val="Calibri"/>
      </rPr>
      <t>If the issuer is not a DoD approved certificate authority, or other AO approved certificate authority, this is a finding.</t>
    </r>
  </si>
  <si>
    <t>V-216878</t>
  </si>
  <si>
    <r>
      <rPr>
        <sz val="11"/>
        <rFont val="Calibri"/>
      </rPr>
      <t>The vCenter Server for Windows must enable certificate based authentication.</t>
    </r>
  </si>
  <si>
    <r>
      <rPr>
        <sz val="11"/>
        <color rgb="FF000000"/>
        <rFont val="Calibri"/>
      </rPr>
      <t>Configure CAC Authentication per supplemental document.</t>
    </r>
  </si>
  <si>
    <r>
      <rPr>
        <sz val="11"/>
        <color rgb="FF000000"/>
        <rFont val="Calibri"/>
      </rPr>
      <t>The vCenter 6.5 Web Client portal is capable of CAC authentication. This capability must be enabled and properly configured.</t>
    </r>
  </si>
  <si>
    <r>
      <rPr>
        <sz val="11"/>
        <color rgb="FF000000"/>
        <rFont val="Calibri"/>
      </rPr>
      <t>See supplemental document.</t>
    </r>
    <r>
      <rPr>
        <sz val="11"/>
        <color rgb="FF000000"/>
        <rFont val="Calibri"/>
      </rPr>
      <t xml:space="preserve">
</t>
    </r>
    <r>
      <rPr>
        <sz val="11"/>
        <color rgb="FF000000"/>
        <rFont val="Calibri"/>
      </rPr>
      <t>Ensure CAC Authentication occurs upon login to vCenter.  Otherwise, this is a finding.</t>
    </r>
  </si>
  <si>
    <t>V-216879</t>
  </si>
  <si>
    <r>
      <rPr>
        <sz val="11"/>
        <rFont val="Calibri"/>
      </rPr>
      <t>The vCenter Server for Windows must enable revocation checking for certificate based authentication.</t>
    </r>
  </si>
  <si>
    <r>
      <rPr>
        <sz val="11"/>
        <color rgb="FF000000"/>
        <rFont val="Calibri"/>
      </rPr>
      <t>1. Login to the Platform Services Controller web interface with administrator@vsphere.local from</t>
    </r>
    <r>
      <rPr>
        <sz val="11"/>
        <color rgb="FF000000"/>
        <rFont val="Calibri"/>
      </rPr>
      <t xml:space="preserve">
</t>
    </r>
    <r>
      <rPr>
        <sz val="11"/>
        <color rgb="FF000000"/>
        <rFont val="Calibri"/>
      </rPr>
      <t>https://&lt;FQDN or IP of PSC&gt;/psc</t>
    </r>
    <r>
      <rPr>
        <sz val="11"/>
        <color rgb="FF000000"/>
        <rFont val="Calibri"/>
      </rPr>
      <t xml:space="preserve">
</t>
    </r>
    <r>
      <rPr>
        <sz val="11"/>
        <color rgb="FF000000"/>
        <rFont val="Calibri"/>
      </rPr>
      <t>In an embedded deployment the Platform Services Controller host name or IP address is the same as the vCenter Server host name or IP address.</t>
    </r>
    <r>
      <rPr>
        <sz val="11"/>
        <color rgb="FF000000"/>
        <rFont val="Calibri"/>
      </rPr>
      <t xml:space="preserve">
</t>
    </r>
    <r>
      <rPr>
        <sz val="11"/>
        <color rgb="FF000000"/>
        <rFont val="Calibri"/>
      </rPr>
      <t>If you specified a different SSO domain during installation, log in as administrator@&lt;mydomain&gt;.</t>
    </r>
    <r>
      <rPr>
        <sz val="11"/>
        <color rgb="FF000000"/>
        <rFont val="Calibri"/>
      </rPr>
      <t xml:space="preserve">
</t>
    </r>
    <r>
      <rPr>
        <sz val="11"/>
        <color rgb="FF000000"/>
        <rFont val="Calibri"/>
      </rPr>
      <t>2. Browse to Single Sign-On &gt; Configuration.</t>
    </r>
    <r>
      <rPr>
        <sz val="11"/>
        <color rgb="FF000000"/>
        <rFont val="Calibri"/>
      </rPr>
      <t xml:space="preserve">
</t>
    </r>
    <r>
      <rPr>
        <sz val="11"/>
        <color rgb="FF000000"/>
        <rFont val="Calibri"/>
      </rPr>
      <t>3. Click the "Smart Card Configuration" tab</t>
    </r>
    <r>
      <rPr>
        <sz val="11"/>
        <color rgb="FF000000"/>
        <rFont val="Calibri"/>
      </rPr>
      <t xml:space="preserve">
</t>
    </r>
    <r>
      <rPr>
        <sz val="11"/>
        <color rgb="FF000000"/>
        <rFont val="Calibri"/>
      </rPr>
      <t>4. Click the "Certificate Revocation Settings" tab</t>
    </r>
    <r>
      <rPr>
        <sz val="11"/>
        <color rgb="FF000000"/>
        <rFont val="Calibri"/>
      </rPr>
      <t xml:space="preserve">
</t>
    </r>
    <r>
      <rPr>
        <sz val="11"/>
        <color rgb="FF000000"/>
        <rFont val="Calibri"/>
      </rPr>
      <t>5. Click the "Enable Revocation Check" button</t>
    </r>
    <r>
      <rPr>
        <sz val="11"/>
        <color rgb="FF000000"/>
        <rFont val="Calibri"/>
      </rPr>
      <t xml:space="preserve">
</t>
    </r>
    <r>
      <rPr>
        <sz val="11"/>
        <color rgb="FF000000"/>
        <rFont val="Calibri"/>
      </rPr>
      <t>By default the PSC will use the CRL from the certificate to check revocation check status. OCSP with CRL fallback is recommended but this setting is site specific and should be configured appropriately.</t>
    </r>
  </si>
  <si>
    <r>
      <rPr>
        <sz val="11"/>
        <color rgb="FF000000"/>
        <rFont val="Calibri"/>
      </rPr>
      <t>The system must establish the validity of the user supplied identity certificate using OCSP and/or CRL revocation checking.</t>
    </r>
  </si>
  <si>
    <r>
      <rPr>
        <sz val="11"/>
        <color rgb="FF000000"/>
        <rFont val="Calibri"/>
      </rPr>
      <t>1. Login to the Platform Services Controller web interface with administrator@vsphere.local from</t>
    </r>
    <r>
      <rPr>
        <sz val="11"/>
        <color rgb="FF000000"/>
        <rFont val="Calibri"/>
      </rPr>
      <t xml:space="preserve">
</t>
    </r>
    <r>
      <rPr>
        <sz val="11"/>
        <color rgb="FF000000"/>
        <rFont val="Calibri"/>
      </rPr>
      <t>https://&lt;FQDN or IP of PSC&gt;/psc</t>
    </r>
    <r>
      <rPr>
        <sz val="11"/>
        <color rgb="FF000000"/>
        <rFont val="Calibri"/>
      </rPr>
      <t xml:space="preserve">
</t>
    </r>
    <r>
      <rPr>
        <sz val="11"/>
        <color rgb="FF000000"/>
        <rFont val="Calibri"/>
      </rPr>
      <t>In an embedded deployment the Platform Services Controller host name or IP address is the same as the vCenter Server host name or IP address.</t>
    </r>
    <r>
      <rPr>
        <sz val="11"/>
        <color rgb="FF000000"/>
        <rFont val="Calibri"/>
      </rPr>
      <t xml:space="preserve">
</t>
    </r>
    <r>
      <rPr>
        <sz val="11"/>
        <color rgb="FF000000"/>
        <rFont val="Calibri"/>
      </rPr>
      <t>If you specified a different SSO domain during installation, log in as administrator@&lt;mydomain&gt;.</t>
    </r>
    <r>
      <rPr>
        <sz val="11"/>
        <color rgb="FF000000"/>
        <rFont val="Calibri"/>
      </rPr>
      <t xml:space="preserve">
</t>
    </r>
    <r>
      <rPr>
        <sz val="11"/>
        <color rgb="FF000000"/>
        <rFont val="Calibri"/>
      </rPr>
      <t>2. Browse to Single Sign-On &gt; Configuration.</t>
    </r>
    <r>
      <rPr>
        <sz val="11"/>
        <color rgb="FF000000"/>
        <rFont val="Calibri"/>
      </rPr>
      <t xml:space="preserve">
</t>
    </r>
    <r>
      <rPr>
        <sz val="11"/>
        <color rgb="FF000000"/>
        <rFont val="Calibri"/>
      </rPr>
      <t>3. Click the "Smart Card Configuration" tab</t>
    </r>
    <r>
      <rPr>
        <sz val="11"/>
        <color rgb="FF000000"/>
        <rFont val="Calibri"/>
      </rPr>
      <t xml:space="preserve">
</t>
    </r>
    <r>
      <rPr>
        <sz val="11"/>
        <color rgb="FF000000"/>
        <rFont val="Calibri"/>
      </rPr>
      <t>4. Click the "Certificate Revocation Settings" tab</t>
    </r>
    <r>
      <rPr>
        <sz val="11"/>
        <color rgb="FF000000"/>
        <rFont val="Calibri"/>
      </rPr>
      <t xml:space="preserve">
</t>
    </r>
    <r>
      <rPr>
        <sz val="11"/>
        <color rgb="FF000000"/>
        <rFont val="Calibri"/>
      </rPr>
      <t>If "Revocation Check" does not show as enabled, this is a finding.</t>
    </r>
  </si>
  <si>
    <t>V-216880</t>
  </si>
  <si>
    <r>
      <rPr>
        <sz val="11"/>
        <rFont val="Calibri"/>
      </rPr>
      <t>The vCenter Server for Windows must disable Password and Windows integrated authentication.</t>
    </r>
  </si>
  <si>
    <r>
      <rPr>
        <sz val="11"/>
        <color rgb="FF000000"/>
        <rFont val="Calibri"/>
      </rPr>
      <t>1. Login to the Platform Services Controller web interface with administrator@vsphere.local from</t>
    </r>
    <r>
      <rPr>
        <sz val="11"/>
        <color rgb="FF000000"/>
        <rFont val="Calibri"/>
      </rPr>
      <t xml:space="preserve">
</t>
    </r>
    <r>
      <rPr>
        <sz val="11"/>
        <color rgb="FF000000"/>
        <rFont val="Calibri"/>
      </rPr>
      <t>https://&lt;FQDN or IP of PSC&gt;/psc</t>
    </r>
    <r>
      <rPr>
        <sz val="11"/>
        <color rgb="FF000000"/>
        <rFont val="Calibri"/>
      </rPr>
      <t xml:space="preserve">
</t>
    </r>
    <r>
      <rPr>
        <sz val="11"/>
        <color rgb="FF000000"/>
        <rFont val="Calibri"/>
      </rPr>
      <t>In an embedded deployment the Platform Services Controller host name or IP address is the same as the vCenter Server host name or IP address.</t>
    </r>
    <r>
      <rPr>
        <sz val="11"/>
        <color rgb="FF000000"/>
        <rFont val="Calibri"/>
      </rPr>
      <t xml:space="preserve">
</t>
    </r>
    <r>
      <rPr>
        <sz val="11"/>
        <color rgb="FF000000"/>
        <rFont val="Calibri"/>
      </rPr>
      <t>If you specified a different SSO domain during installation, log in as administrator@&lt;mydomain&gt;.</t>
    </r>
    <r>
      <rPr>
        <sz val="11"/>
        <color rgb="FF000000"/>
        <rFont val="Calibri"/>
      </rPr>
      <t xml:space="preserve">
</t>
    </r>
    <r>
      <rPr>
        <sz val="11"/>
        <color rgb="FF000000"/>
        <rFont val="Calibri"/>
      </rPr>
      <t>2. Browse to Single Sign-On &gt;&gt; Configuration.</t>
    </r>
    <r>
      <rPr>
        <sz val="11"/>
        <color rgb="FF000000"/>
        <rFont val="Calibri"/>
      </rPr>
      <t xml:space="preserve">
</t>
    </r>
    <r>
      <rPr>
        <sz val="11"/>
        <color rgb="FF000000"/>
        <rFont val="Calibri"/>
      </rPr>
      <t>3. Click the "Smart Card Configuration" tab, click the "Edit" button next to “Authentication Configuration”.</t>
    </r>
    <r>
      <rPr>
        <sz val="11"/>
        <color rgb="FF000000"/>
        <rFont val="Calibri"/>
      </rPr>
      <t xml:space="preserve">
</t>
    </r>
    <r>
      <rPr>
        <sz val="11"/>
        <color rgb="FF000000"/>
        <rFont val="Calibri"/>
      </rPr>
      <t>4. Check the box next to “Password and Windows session authentication”. Click "OK".</t>
    </r>
    <r>
      <rPr>
        <sz val="11"/>
        <color rgb="FF000000"/>
        <rFont val="Calibri"/>
      </rPr>
      <t xml:space="preserve">
</t>
    </r>
    <r>
      <rPr>
        <sz val="11"/>
        <color rgb="FF000000"/>
        <rFont val="Calibri"/>
      </rPr>
      <t>To re-enable password authentication for troubleshooting run the following command from the PSC:</t>
    </r>
    <r>
      <rPr>
        <sz val="11"/>
        <color rgb="FF000000"/>
        <rFont val="Calibri"/>
      </rPr>
      <t xml:space="preserve">
</t>
    </r>
    <r>
      <rPr>
        <sz val="11"/>
        <color rgb="FF000000"/>
        <rFont val="Calibri"/>
      </rPr>
      <t>/opt/vmware/bin/sso-config.sh -set_authn_policy -pwdAuthn true -winAuthn false -certAuthn false -securIDAuthn false -t vsphere.local</t>
    </r>
  </si>
  <si>
    <r>
      <rPr>
        <sz val="11"/>
        <color rgb="FF000000"/>
        <rFont val="Calibri"/>
      </rPr>
      <t>All forms of authentication other than CAC must be disabled. Password authentication can be temporarily re-enabled for emergency access to the local SSO domain accounts but it must be disable as soon as CAC authentication is functional.</t>
    </r>
  </si>
  <si>
    <r>
      <rPr>
        <sz val="11"/>
        <color rgb="FF000000"/>
        <rFont val="Calibri"/>
      </rPr>
      <t>1. Login to the Platform Services Controller web interface with administrator@vsphere.local from</t>
    </r>
    <r>
      <rPr>
        <sz val="11"/>
        <color rgb="FF000000"/>
        <rFont val="Calibri"/>
      </rPr>
      <t xml:space="preserve">
</t>
    </r>
    <r>
      <rPr>
        <sz val="11"/>
        <color rgb="FF000000"/>
        <rFont val="Calibri"/>
      </rPr>
      <t>https://&lt;FQDN or IP of PSC&gt;/psc</t>
    </r>
    <r>
      <rPr>
        <sz val="11"/>
        <color rgb="FF000000"/>
        <rFont val="Calibri"/>
      </rPr>
      <t xml:space="preserve">
</t>
    </r>
    <r>
      <rPr>
        <sz val="11"/>
        <color rgb="FF000000"/>
        <rFont val="Calibri"/>
      </rPr>
      <t>In an embedded deployment the Platform Services Controller host name or IP address is the same as the vCenter Server host name or IP address.</t>
    </r>
    <r>
      <rPr>
        <sz val="11"/>
        <color rgb="FF000000"/>
        <rFont val="Calibri"/>
      </rPr>
      <t xml:space="preserve">
</t>
    </r>
    <r>
      <rPr>
        <sz val="11"/>
        <color rgb="FF000000"/>
        <rFont val="Calibri"/>
      </rPr>
      <t>If you specified a different SSO domain during installation, log in as administrator@&lt;mydomain&gt;.</t>
    </r>
    <r>
      <rPr>
        <sz val="11"/>
        <color rgb="FF000000"/>
        <rFont val="Calibri"/>
      </rPr>
      <t xml:space="preserve">
</t>
    </r>
    <r>
      <rPr>
        <sz val="11"/>
        <color rgb="FF000000"/>
        <rFont val="Calibri"/>
      </rPr>
      <t>2. Browse to Single Sign-On &gt;&gt; Configuration.</t>
    </r>
    <r>
      <rPr>
        <sz val="11"/>
        <color rgb="FF000000"/>
        <rFont val="Calibri"/>
      </rPr>
      <t xml:space="preserve">
</t>
    </r>
    <r>
      <rPr>
        <sz val="11"/>
        <color rgb="FF000000"/>
        <rFont val="Calibri"/>
      </rPr>
      <t>3. Click the "Smart Card Configuration" tab, click the "Edit" button next to “Authentication Configuration”.</t>
    </r>
    <r>
      <rPr>
        <sz val="11"/>
        <color rgb="FF000000"/>
        <rFont val="Calibri"/>
      </rPr>
      <t xml:space="preserve">
</t>
    </r>
    <r>
      <rPr>
        <sz val="11"/>
        <color rgb="FF000000"/>
        <rFont val="Calibri"/>
      </rPr>
      <t>If the selection box next to “Password and Windows session authentication” is checked, this is a finding.</t>
    </r>
  </si>
  <si>
    <t>V-216881</t>
  </si>
  <si>
    <r>
      <rPr>
        <sz val="11"/>
        <rFont val="Calibri"/>
      </rPr>
      <t>The vCenter Server for Windows must enable Login banner for vSphere web client.</t>
    </r>
  </si>
  <si>
    <r>
      <rPr>
        <sz val="11"/>
        <color rgb="FF000000"/>
        <rFont val="Calibri"/>
      </rPr>
      <t>1. Login to the Platform Services Controller web interface with administrator@vsphere.local from</t>
    </r>
    <r>
      <rPr>
        <sz val="11"/>
        <color rgb="FF000000"/>
        <rFont val="Calibri"/>
      </rPr>
      <t xml:space="preserve">
</t>
    </r>
    <r>
      <rPr>
        <sz val="11"/>
        <color rgb="FF000000"/>
        <rFont val="Calibri"/>
      </rPr>
      <t>https://&lt;FQDN or IP of PSC&gt;/psc</t>
    </r>
    <r>
      <rPr>
        <sz val="11"/>
        <color rgb="FF000000"/>
        <rFont val="Calibri"/>
      </rPr>
      <t xml:space="preserve">
</t>
    </r>
    <r>
      <rPr>
        <sz val="11"/>
        <color rgb="FF000000"/>
        <rFont val="Calibri"/>
      </rPr>
      <t>In an embedded deployment the Platform Services Controller host name or IP address is the same as the vCenter Server host name or IP address.</t>
    </r>
    <r>
      <rPr>
        <sz val="11"/>
        <color rgb="FF000000"/>
        <rFont val="Calibri"/>
      </rPr>
      <t xml:space="preserve">
</t>
    </r>
    <r>
      <rPr>
        <sz val="11"/>
        <color rgb="FF000000"/>
        <rFont val="Calibri"/>
      </rPr>
      <t>If you specified a different SSO domain during installation, log in as administrator@&lt;mydomain&gt;.</t>
    </r>
    <r>
      <rPr>
        <sz val="11"/>
        <color rgb="FF000000"/>
        <rFont val="Calibri"/>
      </rPr>
      <t xml:space="preserve">
</t>
    </r>
    <r>
      <rPr>
        <sz val="11"/>
        <color rgb="FF000000"/>
        <rFont val="Calibri"/>
      </rPr>
      <t>2. Browse to Single Sign-On &gt;&gt; Configuration.</t>
    </r>
    <r>
      <rPr>
        <sz val="11"/>
        <color rgb="FF000000"/>
        <rFont val="Calibri"/>
      </rPr>
      <t xml:space="preserve">
</t>
    </r>
    <r>
      <rPr>
        <sz val="11"/>
        <color rgb="FF000000"/>
        <rFont val="Calibri"/>
      </rPr>
      <t>3. Click the "Login Banner" tab, click the "Edit" button.</t>
    </r>
    <r>
      <rPr>
        <sz val="11"/>
        <color rgb="FF000000"/>
        <rFont val="Calibri"/>
      </rPr>
      <t xml:space="preserve">
</t>
    </r>
    <r>
      <rPr>
        <sz val="11"/>
        <color rgb="FF000000"/>
        <rFont val="Calibri"/>
      </rPr>
      <t>4. Check the box next to "Status".</t>
    </r>
    <r>
      <rPr>
        <sz val="11"/>
        <color rgb="FF000000"/>
        <rFont val="Calibri"/>
      </rPr>
      <t xml:space="preserve">
</t>
    </r>
    <r>
      <rPr>
        <sz val="11"/>
        <color rgb="FF000000"/>
        <rFont val="Calibri"/>
      </rPr>
      <t>5. Check the box next to "Checkbox Consent".</t>
    </r>
    <r>
      <rPr>
        <sz val="11"/>
        <color rgb="FF000000"/>
        <rFont val="Calibri"/>
      </rPr>
      <t xml:space="preserve">
</t>
    </r>
    <r>
      <rPr>
        <sz val="11"/>
        <color rgb="FF000000"/>
        <rFont val="Calibri"/>
      </rPr>
      <t>6. Configure the Title and Message to the standard DoD User Agreement</t>
    </r>
  </si>
  <si>
    <r>
      <rPr>
        <sz val="11"/>
        <color rgb="FF000000"/>
        <rFont val="Calibri"/>
      </rPr>
      <t>The required legal notice must be configured for the vCenter web client.</t>
    </r>
  </si>
  <si>
    <r>
      <rPr>
        <sz val="11"/>
        <color rgb="FF000000"/>
        <rFont val="Calibri"/>
      </rPr>
      <t>1. Login to the Platform Services Controller web interface with administrator@vsphere.local from</t>
    </r>
    <r>
      <rPr>
        <sz val="11"/>
        <color rgb="FF000000"/>
        <rFont val="Calibri"/>
      </rPr>
      <t xml:space="preserve">
</t>
    </r>
    <r>
      <rPr>
        <sz val="11"/>
        <color rgb="FF000000"/>
        <rFont val="Calibri"/>
      </rPr>
      <t>https://&lt;FQDN or IP of PSC&gt;/psc</t>
    </r>
    <r>
      <rPr>
        <sz val="11"/>
        <color rgb="FF000000"/>
        <rFont val="Calibri"/>
      </rPr>
      <t xml:space="preserve">
</t>
    </r>
    <r>
      <rPr>
        <sz val="11"/>
        <color rgb="FF000000"/>
        <rFont val="Calibri"/>
      </rPr>
      <t>In an embedded deployment the Platform Services Controller host name or IP address is the same as the vCenter Server host name or IP address.</t>
    </r>
    <r>
      <rPr>
        <sz val="11"/>
        <color rgb="FF000000"/>
        <rFont val="Calibri"/>
      </rPr>
      <t xml:space="preserve">
</t>
    </r>
    <r>
      <rPr>
        <sz val="11"/>
        <color rgb="FF000000"/>
        <rFont val="Calibri"/>
      </rPr>
      <t>If you specified a different SSO domain during installation, log in as administrator@&lt;mydomain&gt;.</t>
    </r>
    <r>
      <rPr>
        <sz val="11"/>
        <color rgb="FF000000"/>
        <rFont val="Calibri"/>
      </rPr>
      <t xml:space="preserve">
</t>
    </r>
    <r>
      <rPr>
        <sz val="11"/>
        <color rgb="FF000000"/>
        <rFont val="Calibri"/>
      </rPr>
      <t>2. Browse to Single Sign-On &gt;&gt; Configuration.</t>
    </r>
    <r>
      <rPr>
        <sz val="11"/>
        <color rgb="FF000000"/>
        <rFont val="Calibri"/>
      </rPr>
      <t xml:space="preserve">
</t>
    </r>
    <r>
      <rPr>
        <sz val="11"/>
        <color rgb="FF000000"/>
        <rFont val="Calibri"/>
      </rPr>
      <t>3. Click the "Login Banner" tab, click the "Edit" button.</t>
    </r>
    <r>
      <rPr>
        <sz val="11"/>
        <color rgb="FF000000"/>
        <rFont val="Calibri"/>
      </rPr>
      <t xml:space="preserve">
</t>
    </r>
    <r>
      <rPr>
        <sz val="11"/>
        <color rgb="FF000000"/>
        <rFont val="Calibri"/>
      </rPr>
      <t>If selection boxes next to "Status" or "Checkbox Consent" are not checked or if the Message is not configured to the standard DoD User Agreement, this is a finding.</t>
    </r>
    <r>
      <rPr>
        <sz val="11"/>
        <color rgb="FF000000"/>
        <rFont val="Calibri"/>
      </rPr>
      <t xml:space="preserve">
</t>
    </r>
    <r>
      <rPr>
        <sz val="11"/>
        <color rgb="FF000000"/>
        <rFont val="Calibri"/>
      </rPr>
      <t>Note: Supplementary Information: DoD Logon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</si>
  <si>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V-216882</t>
  </si>
  <si>
    <r>
      <rPr>
        <sz val="11"/>
        <rFont val="Calibri"/>
      </rPr>
      <t>The vCenter Server for Windows must restrict access to cryptographic role.</t>
    </r>
  </si>
  <si>
    <r>
      <rPr>
        <sz val="11"/>
        <color rgb="FF000000"/>
        <rFont val="Calibri"/>
      </rPr>
      <t>From the vSphere Web Client go to Administration &gt;&gt; Access Control &gt;&gt; Roles</t>
    </r>
    <r>
      <rPr>
        <sz val="11"/>
        <color rgb="FF000000"/>
        <rFont val="Calibri"/>
      </rPr>
      <t xml:space="preserve">
</t>
    </r>
    <r>
      <rPr>
        <sz val="11"/>
        <color rgb="FF000000"/>
        <rFont val="Calibri"/>
      </rPr>
      <t>Move any accounts not explicitly designated for cryptographic operations, other than Solution Users, to other roles such as "No Cryptography Administrator".</t>
    </r>
  </si>
  <si>
    <r>
      <rPr>
        <sz val="11"/>
        <color rgb="FF000000"/>
        <rFont val="Calibri"/>
      </rPr>
      <t>vSphere 6.5 modifies the built-in "Administrator" role to add permission to perform cryptographic operations such as KMS operations and encrypting and decrypting virtual machine disks.  This role must be reserved for cryptographic administrators where VM encryption and/or vSAN encryption is in use.  A new built-in role called "No Cryptography Administrator" has been added to provide all administrative permissions except cryptographic operations. Permissions must be restricted such that normal vSphere administrators are assigned the "No Cryptography Administrator" role or more restrictive. The "Administrator" role must be tightly controlled and must not be applied to administrators who will not be doing cryptographic work. Catastrophic data loss can result from a poorly administered cryptography.</t>
    </r>
  </si>
  <si>
    <r>
      <rPr>
        <sz val="11"/>
        <color rgb="FF000000"/>
        <rFont val="Calibri"/>
      </rPr>
      <t>From the vSphere Web Client go to Administration &gt;&gt; Access Control &gt;&gt; Roles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Get-VIPermission | Where {$_.Role -eq "Admin"} | Select Role,Principal,Entity,Propagate,IsGroup | FT -Auto</t>
    </r>
    <r>
      <rPr>
        <sz val="11"/>
        <color rgb="FF000000"/>
        <rFont val="Calibri"/>
      </rPr>
      <t xml:space="preserve">
</t>
    </r>
    <r>
      <rPr>
        <sz val="11"/>
        <color rgb="FF000000"/>
        <rFont val="Calibri"/>
      </rPr>
      <t>If there are any users other than Solution Users with the "Administrator" role that are not explicitly designated for cryptographic operations, this is a finding.</t>
    </r>
  </si>
  <si>
    <t>V-216883</t>
  </si>
  <si>
    <r>
      <rPr>
        <sz val="11"/>
        <rFont val="Calibri"/>
      </rPr>
      <t>The vCenter Server for Windows must restrict access to cryptographic permissions.</t>
    </r>
  </si>
  <si>
    <r>
      <rPr>
        <sz val="11"/>
        <color rgb="FF000000"/>
        <rFont val="Calibri"/>
      </rPr>
      <t>From the vSphere Web Client go to Administration &gt;&gt; Access Control &gt;&gt; Roles</t>
    </r>
    <r>
      <rPr>
        <sz val="11"/>
        <color rgb="FF000000"/>
        <rFont val="Calibri"/>
      </rPr>
      <t xml:space="preserve">
</t>
    </r>
    <r>
      <rPr>
        <sz val="11"/>
        <color rgb="FF000000"/>
        <rFont val="Calibri"/>
      </rPr>
      <t>Highlight each role and click the pencil button if it is enabled. Remove the following permissions from any group other than Administrator and any site-specific cryptographic group(s):</t>
    </r>
    <r>
      <rPr>
        <sz val="11"/>
        <color rgb="FF000000"/>
        <rFont val="Calibri"/>
      </rPr>
      <t xml:space="preserve">
</t>
    </r>
    <r>
      <rPr>
        <sz val="11"/>
        <color rgb="FF000000"/>
        <rFont val="Calibri"/>
      </rPr>
      <t>Cryptographic Operations privileges</t>
    </r>
    <r>
      <rPr>
        <sz val="11"/>
        <color rgb="FF000000"/>
        <rFont val="Calibri"/>
      </rPr>
      <t xml:space="preserve">
</t>
    </r>
    <r>
      <rPr>
        <sz val="11"/>
        <color rgb="FF000000"/>
        <rFont val="Calibri"/>
      </rPr>
      <t>Global.Diagnostics</t>
    </r>
    <r>
      <rPr>
        <sz val="11"/>
        <color rgb="FF000000"/>
        <rFont val="Calibri"/>
      </rPr>
      <t xml:space="preserve">
</t>
    </r>
    <r>
      <rPr>
        <sz val="11"/>
        <color rgb="FF000000"/>
        <rFont val="Calibri"/>
      </rPr>
      <t>Host.Inventory.Add host to cluster</t>
    </r>
    <r>
      <rPr>
        <sz val="11"/>
        <color rgb="FF000000"/>
        <rFont val="Calibri"/>
      </rPr>
      <t xml:space="preserve">
</t>
    </r>
    <r>
      <rPr>
        <sz val="11"/>
        <color rgb="FF000000"/>
        <rFont val="Calibri"/>
      </rPr>
      <t>Host.Inventory.Add standalone host</t>
    </r>
    <r>
      <rPr>
        <sz val="11"/>
        <color rgb="FF000000"/>
        <rFont val="Calibri"/>
      </rPr>
      <t xml:space="preserve">
</t>
    </r>
    <r>
      <rPr>
        <sz val="11"/>
        <color rgb="FF000000"/>
        <rFont val="Calibri"/>
      </rPr>
      <t>Host.Local operations.Manage user groups</t>
    </r>
  </si>
  <si>
    <r>
      <rPr>
        <sz val="11"/>
        <color rgb="FF000000"/>
        <rFont val="Calibri"/>
      </rPr>
      <t>These permissions must be reserved for cryptographic administrators where VM encryption and/or vSAN encryption is in use. Catastrophic data loss can result from a poorly administered cryptography.</t>
    </r>
  </si>
  <si>
    <r>
      <rPr>
        <sz val="11"/>
        <color rgb="FF000000"/>
        <rFont val="Calibri"/>
      </rPr>
      <t>From the vSphere Web Client go to Administration &gt;&gt; Access Control &gt;&gt; Roles</t>
    </r>
    <r>
      <rPr>
        <sz val="11"/>
        <color rgb="FF000000"/>
        <rFont val="Calibri"/>
      </rPr>
      <t xml:space="preserve">
</t>
    </r>
    <r>
      <rPr>
        <sz val="11"/>
        <color rgb="FF000000"/>
        <rFont val="Calibri"/>
      </rPr>
      <t>Highlight each role and click the pencil button if it is enabled. Verify that only the "Administrator" and any site-specific cryptographic group(s) have the following permissions:</t>
    </r>
    <r>
      <rPr>
        <sz val="11"/>
        <color rgb="FF000000"/>
        <rFont val="Calibri"/>
      </rPr>
      <t xml:space="preserve">
</t>
    </r>
    <r>
      <rPr>
        <sz val="11"/>
        <color rgb="FF000000"/>
        <rFont val="Calibri"/>
      </rPr>
      <t>Cryptographic Operations privileges</t>
    </r>
    <r>
      <rPr>
        <sz val="11"/>
        <color rgb="FF000000"/>
        <rFont val="Calibri"/>
      </rPr>
      <t xml:space="preserve">
</t>
    </r>
    <r>
      <rPr>
        <sz val="11"/>
        <color rgb="FF000000"/>
        <rFont val="Calibri"/>
      </rPr>
      <t>Global.Diagnostics</t>
    </r>
    <r>
      <rPr>
        <sz val="11"/>
        <color rgb="FF000000"/>
        <rFont val="Calibri"/>
      </rPr>
      <t xml:space="preserve">
</t>
    </r>
    <r>
      <rPr>
        <sz val="11"/>
        <color rgb="FF000000"/>
        <rFont val="Calibri"/>
      </rPr>
      <t>Host.Inventory.Add host to cluster</t>
    </r>
    <r>
      <rPr>
        <sz val="11"/>
        <color rgb="FF000000"/>
        <rFont val="Calibri"/>
      </rPr>
      <t xml:space="preserve">
</t>
    </r>
    <r>
      <rPr>
        <sz val="11"/>
        <color rgb="FF000000"/>
        <rFont val="Calibri"/>
      </rPr>
      <t>Host.Inventory.Add standalone host</t>
    </r>
    <r>
      <rPr>
        <sz val="11"/>
        <color rgb="FF000000"/>
        <rFont val="Calibri"/>
      </rPr>
      <t xml:space="preserve">
</t>
    </r>
    <r>
      <rPr>
        <sz val="11"/>
        <color rgb="FF000000"/>
        <rFont val="Calibri"/>
      </rPr>
      <t>Host.Local operations.Manage user groups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$roles = Get-VIRole</t>
    </r>
    <r>
      <rPr>
        <sz val="11"/>
        <color rgb="FF000000"/>
        <rFont val="Calibri"/>
      </rPr>
      <t xml:space="preserve">
</t>
    </r>
    <r>
      <rPr>
        <sz val="11"/>
        <color rgb="FF000000"/>
        <rFont val="Calibri"/>
      </rPr>
      <t>ForEach($role in $roles){</t>
    </r>
    <r>
      <rPr>
        <sz val="11"/>
        <color rgb="FF000000"/>
        <rFont val="Calibri"/>
      </rPr>
      <t xml:space="preserve">
</t>
    </r>
    <r>
      <rPr>
        <sz val="11"/>
        <color rgb="FF000000"/>
        <rFont val="Calibri"/>
      </rPr>
      <t xml:space="preserve">    $privileges = $role.PrivilegeList</t>
    </r>
    <r>
      <rPr>
        <sz val="11"/>
        <color rgb="FF000000"/>
        <rFont val="Calibri"/>
      </rPr>
      <t xml:space="preserve">
</t>
    </r>
    <r>
      <rPr>
        <sz val="11"/>
        <color rgb="FF000000"/>
        <rFont val="Calibri"/>
      </rPr>
      <t xml:space="preserve">    If($privileges -match "Crypto*" -or $privileges -match "Global.Diagnostics" -or $privileges -match "Host.Inventory.Add*" -or $privileges -match "Host.Local operations.Manage user groups"){</t>
    </r>
    <r>
      <rPr>
        <sz val="11"/>
        <color rgb="FF000000"/>
        <rFont val="Calibri"/>
      </rPr>
      <t xml:space="preserve">
</t>
    </r>
    <r>
      <rPr>
        <sz val="11"/>
        <color rgb="FF000000"/>
        <rFont val="Calibri"/>
      </rPr>
      <t xml:space="preserve">    Write-Host "$role has Cryptographic privileges"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any role other than "Administrator" or any site-specific group(s) have any of these permissions, this is a finding.</t>
    </r>
  </si>
  <si>
    <t>V-216884</t>
  </si>
  <si>
    <r>
      <rPr>
        <sz val="11"/>
        <rFont val="Calibri"/>
      </rPr>
      <t>The vCenter Server for Windows must have Mutual CHAP configured for vSAN iSCSI targets.</t>
    </r>
  </si>
  <si>
    <r>
      <rPr>
        <sz val="11"/>
        <color rgb="FF000000"/>
        <rFont val="Calibri"/>
      </rPr>
      <t>From the vSphere Web Client go to Host and Clusters &gt;&gt; Select a Cluster &gt;&gt; Configure &gt;&gt; Virtual SAN &gt;&gt; iSCSI Targets</t>
    </r>
    <r>
      <rPr>
        <sz val="11"/>
        <color rgb="FF000000"/>
        <rFont val="Calibri"/>
      </rPr>
      <t xml:space="preserve">
</t>
    </r>
    <r>
      <rPr>
        <sz val="11"/>
        <color rgb="FF000000"/>
        <rFont val="Calibri"/>
      </rPr>
      <t>For each iSCSI Target select the item and click the pencil icon to open the edit dialog. Change the "Authentication" field to "Mutual CHAP" and configure the incoming and outgoing users and secrets appropriately.</t>
    </r>
  </si>
  <si>
    <r>
      <rPr>
        <sz val="11"/>
        <color rgb="FF000000"/>
        <rFont val="Calibri"/>
      </rPr>
      <t>When enabled vSphere performs bidirectional authentication of both the iSCSI target and host. There is a potential for a MitM attack when not authenticating both the iSCSI target and host in which an attacker might impersonate either side of the connection to steal data. Bidirectional authentication mitigates this risk.</t>
    </r>
  </si>
  <si>
    <r>
      <rPr>
        <sz val="11"/>
        <color rgb="FF000000"/>
        <rFont val="Calibri"/>
      </rPr>
      <t>If no clusters are enabled for vSAN or if vSAN is enabled but iSCSI is not enabled, this is not applicable.</t>
    </r>
    <r>
      <rPr>
        <sz val="11"/>
        <color rgb="FF000000"/>
        <rFont val="Calibri"/>
      </rPr>
      <t xml:space="preserve">
</t>
    </r>
    <r>
      <rPr>
        <sz val="11"/>
        <color rgb="FF000000"/>
        <rFont val="Calibri"/>
      </rPr>
      <t>From the vSphere Web Client go to Host and Clusters &gt;&gt; Select a Cluster &gt;&gt; Configure &gt;&gt; Virtual SAN &gt;&gt; iSCSI Targets</t>
    </r>
    <r>
      <rPr>
        <sz val="11"/>
        <color rgb="FF000000"/>
        <rFont val="Calibri"/>
      </rPr>
      <t xml:space="preserve">
</t>
    </r>
    <r>
      <rPr>
        <sz val="11"/>
        <color rgb="FF000000"/>
        <rFont val="Calibri"/>
      </rPr>
      <t xml:space="preserve">For each iSCSI Target select the item and click the pencil icon to open the edit dialog. </t>
    </r>
    <r>
      <rPr>
        <sz val="11"/>
        <color rgb="FF000000"/>
        <rFont val="Calibri"/>
      </rPr>
      <t xml:space="preserve">
</t>
    </r>
    <r>
      <rPr>
        <sz val="11"/>
        <color rgb="FF000000"/>
        <rFont val="Calibri"/>
      </rPr>
      <t>If the Authentication method is not set to "Mutual CHAP" and fully configured, this is a finding.</t>
    </r>
  </si>
  <si>
    <t>V-216885</t>
  </si>
  <si>
    <r>
      <rPr>
        <sz val="11"/>
        <rFont val="Calibri"/>
      </rPr>
      <t>The vCenter Server for Windows must have new Key Encryption Keys (KEKs) re-issued at regular intervals for vSAN encrypted datastore(s).</t>
    </r>
  </si>
  <si>
    <r>
      <rPr>
        <sz val="11"/>
        <color rgb="FF000000"/>
        <rFont val="Calibri"/>
      </rPr>
      <t>If vSAN encryption is in use, ensure that a regular re-key procedure is in place.</t>
    </r>
  </si>
  <si>
    <r>
      <rPr>
        <sz val="11"/>
        <color rgb="FF000000"/>
        <rFont val="Calibri"/>
      </rPr>
      <t>The Key Encryption Key (KEK) for a vSAN encrypted datastore is generated by the Key Management Server (KMS) and serves as a wrapper and lock around the Disk Encryption Key (DEK). The DEK is generated by the host and is used to encrypt and decrypt the datastore. A shallow re-key is a procedure in which the KMS issues a new KEK to the ESXi host which re-wraps the DEK but does not change the DEK or any data on disk. This operation must be done on a regular, site defined interval and can be viewed as similar in criticality to changing an administrative password. Should the KMS itself somehow be compromised, a standing operational procedure to re-key will put a time limit on the usefulness of any stolen KMS data.</t>
    </r>
  </si>
  <si>
    <r>
      <rPr>
        <sz val="11"/>
        <color rgb="FF000000"/>
        <rFont val="Calibri"/>
      </rPr>
      <t>Interview the SA to determine that a procedure has been put in place to perform a shallow re-key of all vSAN encrypted datastores at regular, site defined intervals.</t>
    </r>
    <r>
      <rPr>
        <sz val="11"/>
        <color rgb="FF000000"/>
        <rFont val="Calibri"/>
      </rPr>
      <t xml:space="preserve">
</t>
    </r>
    <r>
      <rPr>
        <sz val="11"/>
        <color rgb="FF000000"/>
        <rFont val="Calibri"/>
      </rPr>
      <t>VMware recommends a 60-day re-key task but this interval must be defined by the SA and the ISSO.</t>
    </r>
    <r>
      <rPr>
        <sz val="11"/>
        <color rgb="FF000000"/>
        <rFont val="Calibri"/>
      </rPr>
      <t xml:space="preserve">
</t>
    </r>
    <r>
      <rPr>
        <sz val="11"/>
        <color rgb="FF000000"/>
        <rFont val="Calibri"/>
      </rPr>
      <t>If vSAN encryption is not in use, this is not a finding.</t>
    </r>
  </si>
  <si>
    <t>V-216886</t>
  </si>
  <si>
    <r>
      <rPr>
        <sz val="11"/>
        <rFont val="Calibri"/>
      </rPr>
      <t>The vCenter Server for Windows must disable the Customer Experience Improvement Program (CEIP).</t>
    </r>
  </si>
  <si>
    <r>
      <rPr>
        <sz val="11"/>
        <color rgb="FF000000"/>
        <rFont val="Calibri"/>
      </rPr>
      <t>From the vSphere Web Client go to Administration &gt;&gt; Deployment &gt;&gt; Customer Experience Improvement Program</t>
    </r>
    <r>
      <rPr>
        <sz val="11"/>
        <color rgb="FF000000"/>
        <rFont val="Calibri"/>
      </rPr>
      <t xml:space="preserve">
</t>
    </r>
    <r>
      <rPr>
        <sz val="11"/>
        <color rgb="FF000000"/>
        <rFont val="Calibri"/>
      </rPr>
      <t>Click the "Leave" button</t>
    </r>
  </si>
  <si>
    <r>
      <rPr>
        <sz val="11"/>
        <color rgb="FF000000"/>
        <rFont val="Calibri"/>
      </rPr>
      <t>The VMware Customer Experience Improvement Program (CEIP) sends VMware anonymized system information that is used to improve the quality, reliability, and functionality of VMware products and services. For confidentiality purposes this feature must be disabled.</t>
    </r>
  </si>
  <si>
    <r>
      <rPr>
        <sz val="11"/>
        <color rgb="FF000000"/>
        <rFont val="Calibri"/>
      </rPr>
      <t>From the vSphere Web Client go to Administration &gt;&gt; Deployment &gt;&gt; Customer Experience Improvement Program</t>
    </r>
    <r>
      <rPr>
        <sz val="11"/>
        <color rgb="FF000000"/>
        <rFont val="Calibri"/>
      </rPr>
      <t xml:space="preserve">
</t>
    </r>
    <r>
      <rPr>
        <sz val="11"/>
        <color rgb="FF000000"/>
        <rFont val="Calibri"/>
      </rPr>
      <t>If Customer Experience Improvement Program is Enabled, this is a finding.</t>
    </r>
  </si>
  <si>
    <t>V-216887</t>
  </si>
  <si>
    <r>
      <rPr>
        <sz val="11"/>
        <rFont val="Calibri"/>
      </rPr>
      <t>The vCenter Server for Windows must use LDAPS when adding an SSO identity source.</t>
    </r>
  </si>
  <si>
    <r>
      <rPr>
        <sz val="11"/>
        <color rgb="FF000000"/>
        <rFont val="Calibri"/>
      </rPr>
      <t xml:space="preserve">From the vSphere Web Client go to Administration &gt;&gt; Single Sign-On &gt;&gt; Configuration. </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For each identity source of type "Active Directory" where LDAPS is not configured, highlight the item and click the pencil icon to open the edit dialog. Check the box at the bottom for LDAPS and click "Next". Click the green plus button to upload the trusted DC certificate or click the magnifying glass to extract the certificate from the DC directly. Click "Next". Click "Finish".</t>
    </r>
  </si>
  <si>
    <r>
      <rPr>
        <sz val="11"/>
        <color rgb="FF000000"/>
        <rFont val="Calibri"/>
      </rPr>
      <t>LDAP (Lightweight Directory Access Protocol) is an industry standard protocol for querying directory services such as Active Directory. This protocol can operate in clear text or over an SSL/TLS encrypted tunnel. To protect confidentiality of LDAP communications the LDAPS option must be selected when adding an LDAP identity source in vSphere SSO.</t>
    </r>
  </si>
  <si>
    <r>
      <rPr>
        <sz val="11"/>
        <color rgb="FF000000"/>
        <rFont val="Calibri"/>
      </rPr>
      <t>Note: This requirement is applicable for Active Directory over LDAP connections and Not Applicable when the vCenter or PSC server is joined to AD and using integrated windows authentication.</t>
    </r>
    <r>
      <rPr>
        <sz val="11"/>
        <color rgb="FF000000"/>
        <rFont val="Calibri"/>
      </rPr>
      <t xml:space="preserve">
</t>
    </r>
    <r>
      <rPr>
        <sz val="11"/>
        <color rgb="FF000000"/>
        <rFont val="Calibri"/>
      </rPr>
      <t xml:space="preserve">From the vSphere Web Client go to Administration &gt;&gt; Single Sign-On &gt;&gt; Configuration. </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 xml:space="preserve">For each identity source of type "Active Directory", highlight the item and click the pencil icon to open the edit dialog. </t>
    </r>
    <r>
      <rPr>
        <sz val="11"/>
        <color rgb="FF000000"/>
        <rFont val="Calibri"/>
      </rPr>
      <t xml:space="preserve">
</t>
    </r>
    <r>
      <rPr>
        <sz val="11"/>
        <color rgb="FF000000"/>
        <rFont val="Calibri"/>
      </rPr>
      <t>If the LDAPs box at the bottom is not checked, this is a finding.</t>
    </r>
  </si>
  <si>
    <t>V-216888</t>
  </si>
  <si>
    <r>
      <rPr>
        <sz val="11"/>
        <rFont val="Calibri"/>
      </rPr>
      <t>The vCenter Server for Windows must use a limited privilege account when adding an LDAP identity source.</t>
    </r>
  </si>
  <si>
    <r>
      <rPr>
        <sz val="11"/>
        <color rgb="FF000000"/>
        <rFont val="Calibri"/>
      </rPr>
      <t xml:space="preserve">From the vSphere Web Client go to Administration &gt;&gt; Single Sign-On &gt;&gt; Configuration. </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For each identity source that has been configured with a highly privileged AD account, highlight the item and click the pencil icon to open the edit dialog. Change the username and password to one with read only rights to the base DN and complete the dialog.</t>
    </r>
  </si>
  <si>
    <r>
      <rPr>
        <sz val="11"/>
        <color rgb="FF000000"/>
        <rFont val="Calibri"/>
      </rPr>
      <t>When adding an LDAP identity source to vSphere SSO the account used to bind to AD must be minimally privileged. This account only requires read rights to the base DN specified. Any other permissions inside or outside of that OU are unnecessary and violate least privilege.</t>
    </r>
  </si>
  <si>
    <r>
      <rPr>
        <sz val="11"/>
        <color rgb="FF000000"/>
        <rFont val="Calibri"/>
      </rPr>
      <t>Note: This requirement is applicable for Active Directory over LDAP connections and Not Applicable when the vCenter or PSC server is joined to AD and using integrated windows authentication.</t>
    </r>
    <r>
      <rPr>
        <sz val="11"/>
        <color rgb="FF000000"/>
        <rFont val="Calibri"/>
      </rPr>
      <t xml:space="preserve">
</t>
    </r>
    <r>
      <rPr>
        <sz val="11"/>
        <color rgb="FF000000"/>
        <rFont val="Calibri"/>
      </rPr>
      <t xml:space="preserve">From the vSphere Web Client go to Administration &gt;&gt; Single Sign-On &gt;&gt; Configuration. </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 xml:space="preserve">For each identity source with of type "Active Directory", highlight the item and click the pencil icon to open the edit dialog. </t>
    </r>
    <r>
      <rPr>
        <sz val="11"/>
        <color rgb="FF000000"/>
        <rFont val="Calibri"/>
      </rPr>
      <t xml:space="preserve">
</t>
    </r>
    <r>
      <rPr>
        <sz val="11"/>
        <color rgb="FF000000"/>
        <rFont val="Calibri"/>
      </rPr>
      <t>If the account that is configured to bind to the LDAP server is not one with minimal privileges, this is a finding.</t>
    </r>
  </si>
  <si>
    <t>V-216889</t>
  </si>
  <si>
    <r>
      <rPr>
        <sz val="11"/>
        <rFont val="Calibri"/>
      </rPr>
      <t>The vCenter Server for Windows must disable SNMPv1.</t>
    </r>
  </si>
  <si>
    <r>
      <rPr>
        <sz val="11"/>
        <color rgb="FF000000"/>
        <rFont val="Calibri"/>
      </rPr>
      <t>In the vSphere Web Client go to a vCenter Server instance.</t>
    </r>
    <r>
      <rPr>
        <sz val="11"/>
        <color rgb="FF000000"/>
        <rFont val="Calibri"/>
      </rPr>
      <t xml:space="preserve">
</t>
    </r>
    <r>
      <rPr>
        <sz val="11"/>
        <color rgb="FF000000"/>
        <rFont val="Calibri"/>
      </rPr>
      <t>Click the Configure tab &gt;&gt; Settings &gt;&gt; General.</t>
    </r>
    <r>
      <rPr>
        <sz val="11"/>
        <color rgb="FF000000"/>
        <rFont val="Calibri"/>
      </rPr>
      <t xml:space="preserve">
</t>
    </r>
    <r>
      <rPr>
        <sz val="11"/>
        <color rgb="FF000000"/>
        <rFont val="Calibri"/>
      </rPr>
      <t>On the vCenter Server Settings central pane, click Edit.</t>
    </r>
    <r>
      <rPr>
        <sz val="11"/>
        <color rgb="FF000000"/>
        <rFont val="Calibri"/>
      </rPr>
      <t xml:space="preserve">
</t>
    </r>
    <r>
      <rPr>
        <sz val="11"/>
        <color rgb="FF000000"/>
        <rFont val="Calibri"/>
      </rPr>
      <t>Click SNMP receivers to edit their settings.</t>
    </r>
    <r>
      <rPr>
        <sz val="11"/>
        <color rgb="FF000000"/>
        <rFont val="Calibri"/>
      </rPr>
      <t xml:space="preserve">
</t>
    </r>
    <r>
      <rPr>
        <sz val="11"/>
        <color rgb="FF000000"/>
        <rFont val="Calibri"/>
      </rPr>
      <t>Remove any SNMP receivers that exist.</t>
    </r>
  </si>
  <si>
    <r>
      <rPr>
        <sz val="11"/>
        <color rgb="FF000000"/>
        <rFont val="Calibri"/>
      </rPr>
      <t xml:space="preserve">SNMPv3 supports commercial-grade security, including authentication, authorization, access control, and privacy while previous versions of the protocol contained well-known security weaknesses that were easily exploited. SNMPv3 can be configured for identification and cryptographically based authentication. </t>
    </r>
    <r>
      <rPr>
        <sz val="11"/>
        <color rgb="FF000000"/>
        <rFont val="Calibri"/>
      </rPr>
      <t xml:space="preserve">
</t>
    </r>
    <r>
      <rPr>
        <sz val="11"/>
        <color rgb="FF000000"/>
        <rFont val="Calibri"/>
      </rPr>
      <t>SNMPv3 is not supported in vCenter Server for Windows.</t>
    </r>
  </si>
  <si>
    <r>
      <rPr>
        <sz val="11"/>
        <color rgb="FF000000"/>
        <rFont val="Calibri"/>
      </rPr>
      <t>NOTE: For the vCenter 6.5 Server Appliance, this requirement is Not Applicable.</t>
    </r>
    <r>
      <rPr>
        <sz val="11"/>
        <color rgb="FF000000"/>
        <rFont val="Calibri"/>
      </rPr>
      <t xml:space="preserve">
</t>
    </r>
    <r>
      <rPr>
        <sz val="11"/>
        <color rgb="FF000000"/>
        <rFont val="Calibri"/>
      </rPr>
      <t>In the vSphere Web Client go to a vCenter Server instance.</t>
    </r>
    <r>
      <rPr>
        <sz val="11"/>
        <color rgb="FF000000"/>
        <rFont val="Calibri"/>
      </rPr>
      <t xml:space="preserve">
</t>
    </r>
    <r>
      <rPr>
        <sz val="11"/>
        <color rgb="FF000000"/>
        <rFont val="Calibri"/>
      </rPr>
      <t>Click the Configure tab &gt;&gt; Settings &gt;&gt; General.</t>
    </r>
    <r>
      <rPr>
        <sz val="11"/>
        <color rgb="FF000000"/>
        <rFont val="Calibri"/>
      </rPr>
      <t xml:space="preserve">
</t>
    </r>
    <r>
      <rPr>
        <sz val="11"/>
        <color rgb="FF000000"/>
        <rFont val="Calibri"/>
      </rPr>
      <t>On the vCenter Server Settings central pane, click Edit.</t>
    </r>
    <r>
      <rPr>
        <sz val="11"/>
        <color rgb="FF000000"/>
        <rFont val="Calibri"/>
      </rPr>
      <t xml:space="preserve">
</t>
    </r>
    <r>
      <rPr>
        <sz val="11"/>
        <color rgb="FF000000"/>
        <rFont val="Calibri"/>
      </rPr>
      <t>Click SNMP receivers to edit their settings.</t>
    </r>
    <r>
      <rPr>
        <sz val="11"/>
        <color rgb="FF000000"/>
        <rFont val="Calibri"/>
      </rPr>
      <t xml:space="preserve">
</t>
    </r>
    <r>
      <rPr>
        <sz val="11"/>
        <color rgb="FF000000"/>
        <rFont val="Calibri"/>
      </rPr>
      <t>Ensure no information for SNMP receivers are entered.  If there are SNMP receivers configured, this is a finding.</t>
    </r>
  </si>
  <si>
    <t>V-237065</t>
  </si>
  <si>
    <r>
      <rPr>
        <sz val="11"/>
        <rFont val="Calibri"/>
      </rPr>
      <t>Copy operations must be disabled on the virtual machine.</t>
    </r>
  </si>
  <si>
    <t>VMware vSphere 6.5 Virtual Machine</t>
  </si>
  <si>
    <r>
      <rPr>
        <sz val="11"/>
        <color rgb="FF000000"/>
        <rFont val="Calibri"/>
      </rPr>
      <t xml:space="preserve">From the vSphere Web Client right-click the Virtual Machine and go to Edit Settings &gt;&gt; VM Options &gt;&gt; Advanced &gt;&gt; Configuration Parameters &gt;&gt; Edit Configuration. Find the isolation.tools.copy.disable value and set it to true. If the setting does not exist, add the Name and Value setting at the bottom of screen. </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isolation.tools.copy.disable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isolation.tools.copy.disable | Set-AdvancedSetting -Value true</t>
    </r>
  </si>
  <si>
    <r>
      <rPr>
        <sz val="11"/>
        <color rgb="FF000000"/>
        <rFont val="Calibri"/>
      </rPr>
      <t>Copy and paste operations are disabled by default; however, by explicitly disabling this feature it will enable audit controls to check that this setting is correct. Copy, paste, drag and drop, or GUI copy/paste operations between the guest OS and the remote console could provide the means for an attacker to compromise the VM.</t>
    </r>
  </si>
  <si>
    <r>
      <rPr>
        <sz val="11"/>
        <color rgb="FF000000"/>
        <rFont val="Calibri"/>
      </rPr>
      <t>From the vSphere Web Client right-click the Virtual Machine and go to Edit Settings &gt;&gt; VM Options &gt;&gt; Advanced &gt;&gt; Configuration Parameters &gt;&gt; Edit Configuration. Verify the isolation.tools.copy.disable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isolation.tools.copy.disable</t>
    </r>
    <r>
      <rPr>
        <sz val="11"/>
        <color rgb="FF000000"/>
        <rFont val="Calibri"/>
      </rPr>
      <t xml:space="preserve">
</t>
    </r>
    <r>
      <rPr>
        <sz val="11"/>
        <color rgb="FF000000"/>
        <rFont val="Calibri"/>
      </rPr>
      <t>If the virtual machine advanced setting isolation.tools.copy.disable does not exist or is not set to true, this is a finding.</t>
    </r>
  </si>
  <si>
    <t>V-237066</t>
  </si>
  <si>
    <r>
      <rPr>
        <sz val="11"/>
        <rFont val="Calibri"/>
      </rPr>
      <t>Drag and drop operations must be disabled on the virtual machine.</t>
    </r>
  </si>
  <si>
    <r>
      <rPr>
        <sz val="11"/>
        <color rgb="FF000000"/>
        <rFont val="Calibri"/>
      </rPr>
      <t>From the vSphere Web Client right-click the Virtual Machine and go to Edit Settings &gt;&gt; VM Options &gt;&gt; Advanced &gt;&gt; Configuration Parameters &gt;&gt; Edit Configuration. Verify the isolation.tools.dnd.disable value is set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isolation.tools.dnd.disable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isolation.tools.dnd.disable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</si>
  <si>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isolation.tools.dnd.disable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isolation.tools.dnd.disable</t>
    </r>
    <r>
      <rPr>
        <sz val="11"/>
        <color rgb="FF000000"/>
        <rFont val="Calibri"/>
      </rPr>
      <t xml:space="preserve">
</t>
    </r>
    <r>
      <rPr>
        <sz val="11"/>
        <color rgb="FF000000"/>
        <rFont val="Calibri"/>
      </rPr>
      <t>If the virtual machine advanced setting isolation.tools.dnd.disable does not exist or is not set to true, this is a finding.</t>
    </r>
  </si>
  <si>
    <t>V-237067</t>
  </si>
  <si>
    <r>
      <rPr>
        <sz val="11"/>
        <rFont val="Calibri"/>
      </rPr>
      <t>GUI functionality for copy/paste operations must be disabled on the virtual machine.</t>
    </r>
  </si>
  <si>
    <r>
      <rPr>
        <sz val="11"/>
        <color rgb="FF000000"/>
        <rFont val="Calibri"/>
      </rPr>
      <t>From the vSphere Web Client right-click the Virtual Machine and go to Edit Settings &gt;&gt; VM Options &gt;&gt; Advanced &gt;&gt; Configuration Parameters &gt;&gt; Edit Configuration. Find the isolation.tools.setGUIOptions.enable value and set it to false.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isolation.tools.setGUIOptions.enable -Value false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isolation.tools.setGUIOptions.enable | Set-AdvancedSetting -Value false</t>
    </r>
  </si>
  <si>
    <r>
      <rPr>
        <sz val="11"/>
        <color rgb="FF000000"/>
        <rFont val="Calibri"/>
      </rPr>
      <t>From the vSphere Web Client right-click the Virtual Machine and go to Edit Settings &gt;&gt; VM Options &gt;&gt; Advanced &gt;&gt; Configuration Parameters &gt;&gt; Edit Configuration. Verify the isolation.tools.setGUIOptions.enable value is set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isolation.tools.setGUIOptions.enable</t>
    </r>
    <r>
      <rPr>
        <sz val="11"/>
        <color rgb="FF000000"/>
        <rFont val="Calibri"/>
      </rPr>
      <t xml:space="preserve">
</t>
    </r>
    <r>
      <rPr>
        <sz val="11"/>
        <color rgb="FF000000"/>
        <rFont val="Calibri"/>
      </rPr>
      <t>If the virtual machine advanced setting isolation.tools.setGUIOptions.enable does not exist or is not set to false, this is a finding.</t>
    </r>
  </si>
  <si>
    <t>V-237068</t>
  </si>
  <si>
    <r>
      <rPr>
        <sz val="11"/>
        <rFont val="Calibri"/>
      </rPr>
      <t>Paste operations must be disabled on the virtual machine.</t>
    </r>
  </si>
  <si>
    <r>
      <rPr>
        <sz val="11"/>
        <color rgb="FF000000"/>
        <rFont val="Calibri"/>
      </rPr>
      <t>From the vSphere Web Client right-click the Virtual Machine and go to Edit Settings &gt;&gt; VM Options &gt;&gt; Advanced &gt;&gt; Configuration Parameters &gt;&gt; Edit Configuration. Find the isolation.tools.paste.disable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isolation.tools.paste.disable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isolation.tools.paste.disable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</si>
  <si>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isolation.tools.paste.disable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isolation.tools.paste.disable</t>
    </r>
    <r>
      <rPr>
        <sz val="11"/>
        <color rgb="FF000000"/>
        <rFont val="Calibri"/>
      </rPr>
      <t xml:space="preserve">
</t>
    </r>
    <r>
      <rPr>
        <sz val="11"/>
        <color rgb="FF000000"/>
        <rFont val="Calibri"/>
      </rPr>
      <t>If the virtual machine advanced setting isolation.tools.paste.disable does not exist or is not set to true, this is a finding.</t>
    </r>
  </si>
  <si>
    <t>V-237069</t>
  </si>
  <si>
    <r>
      <rPr>
        <sz val="11"/>
        <rFont val="Calibri"/>
      </rPr>
      <t>Virtual disk shrinking must be disabled on the virtual machine.</t>
    </r>
  </si>
  <si>
    <r>
      <rPr>
        <sz val="11"/>
        <color rgb="FF000000"/>
        <rFont val="Calibri"/>
      </rPr>
      <t>From the vSphere Web Client right-click the Virtual Machine and go to Edit Settings &gt;&gt; VM Options &gt;&gt; Advanced &gt;&gt; Configuration Parameters &gt;&gt; Edit Configuration. Find the isolation.tools.diskShrink.disable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isolation.tools.diskShrink.disable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isolation.tools.diskShrink.disable | Set-AdvancedSetting -Value true</t>
    </r>
  </si>
  <si>
    <r>
      <rPr>
        <sz val="11"/>
        <color rgb="FF000000"/>
        <rFont val="Calibri"/>
      </rPr>
      <t>Shrinking a virtual disk reclaims unused space in it. If there is empty space in the disk, this process reduces the amount of space the virtual disk occupies on the host drive. Normal users and processes-that is, users and processes without root or administrator privileges-within virtual machines have the capability to invoke this procedure. However, if this is done repeatedly, the virtual disk can become unavailable while this shrinking is being performed, effectively causing a denial-of-service. In most datacenter environments, disk shrinking is not done, so this feature must be disabled. Repeated disk shrinking can make a virtual disk unavailable. The capability to shrink is available to non-administrative users operating within the VMs guest OS.</t>
    </r>
  </si>
  <si>
    <r>
      <rPr>
        <sz val="11"/>
        <color rgb="FF000000"/>
        <rFont val="Calibri"/>
      </rPr>
      <t>From the vSphere Web Client right-click the Virtual Machine and go to Edit Settings &gt;&gt; VM Options &gt;&gt; Advanced &gt;&gt; Configuration Parameters &gt;&gt; Edit Configuration. Verify the isolation.tools.diskShrink.disable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isolation.tools.diskShrink.disable</t>
    </r>
    <r>
      <rPr>
        <sz val="11"/>
        <color rgb="FF000000"/>
        <rFont val="Calibri"/>
      </rPr>
      <t xml:space="preserve">
</t>
    </r>
    <r>
      <rPr>
        <sz val="11"/>
        <color rgb="FF000000"/>
        <rFont val="Calibri"/>
      </rPr>
      <t>If the virtual machine advanced setting isolation.tools.diskShrink.disable does not exist or is not set to true, this is a finding.</t>
    </r>
  </si>
  <si>
    <t>V-237070</t>
  </si>
  <si>
    <r>
      <rPr>
        <sz val="11"/>
        <rFont val="Calibri"/>
      </rPr>
      <t>Virtual disk erasure must be disabled on the virtual machine.</t>
    </r>
  </si>
  <si>
    <r>
      <rPr>
        <sz val="11"/>
        <color rgb="FF000000"/>
        <rFont val="Calibri"/>
      </rPr>
      <t>From the vSphere Web Client right-click the Virtual Machine and go to Edit Settings &gt;&gt; VM Options &gt;&gt; Advanced &gt;&gt; Configuration Parameters &gt;&gt; Edit Configuration. Find the isolation.tools.diskWiper.disable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isolation.tools.diskWiper.disable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isolation.tools.diskWiper.disable | Set-AdvancedSetting -Value true</t>
    </r>
  </si>
  <si>
    <r>
      <rPr>
        <sz val="11"/>
        <color rgb="FF000000"/>
        <rFont val="Calibri"/>
      </rPr>
      <t>Shrinking and wiping (erasing) a virtual disk reclaims unused space in it. If there is empty space in the disk, this process reduces the amount of space the virtual disk occupies on the host drive. Normal users and processes - that is, users and processes without root or administrator privileges - within virtual machines have the capability to invoke this procedure. However, if this is done repeatedly, the virtual disk can become unavailable while this shrinking is being performed, effectively causing a denial-of-service. In most datacenter environments, disk shrinking is not done, so this feature must be disabled. Repeated disk shrinking can make a virtual disk unavailable. The capability to wipe (erase) is available to non-administrative users operating within the VMs guest OS.</t>
    </r>
  </si>
  <si>
    <r>
      <rPr>
        <sz val="11"/>
        <color rgb="FF000000"/>
        <rFont val="Calibri"/>
      </rPr>
      <t>From the vSphere Web Client right-click the Virtual Machine and go to Edit Settings &gt;&gt; VM Options &gt;&gt; Advanced &gt;&gt; Configuration Parameters &gt;&gt; Edit Configuration. Verify the isolation.tools.diskWiper.disable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isolation.tools.diskWiper.disable</t>
    </r>
    <r>
      <rPr>
        <sz val="11"/>
        <color rgb="FF000000"/>
        <rFont val="Calibri"/>
      </rPr>
      <t xml:space="preserve">
</t>
    </r>
    <r>
      <rPr>
        <sz val="11"/>
        <color rgb="FF000000"/>
        <rFont val="Calibri"/>
      </rPr>
      <t>If the virtual machine advanced setting isolation.tools.diskWiper.disable does not exist or is not set to true, this is a finding.</t>
    </r>
  </si>
  <si>
    <t>V-237071</t>
  </si>
  <si>
    <r>
      <rPr>
        <sz val="11"/>
        <rFont val="Calibri"/>
      </rPr>
      <t>Independent, non-persistent disks must be not be used on the virtual machine.</t>
    </r>
  </si>
  <si>
    <r>
      <rPr>
        <sz val="11"/>
        <color rgb="FF000000"/>
        <rFont val="Calibri"/>
      </rPr>
      <t>From the vSphere Web Client right-click the Virtual Machine and go to Edit Settings. Select the target hard disk and change the mode to persistent or uncheck Independent.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Get-HardDisk | Set-HardDisk -Persistence IndependentPersistent</t>
    </r>
    <r>
      <rPr>
        <sz val="11"/>
        <color rgb="FF000000"/>
        <rFont val="Calibri"/>
      </rPr>
      <t xml:space="preserve">
</t>
    </r>
    <r>
      <rPr>
        <sz val="11"/>
        <color rgb="FF000000"/>
        <rFont val="Calibri"/>
      </rPr>
      <t>or</t>
    </r>
    <r>
      <rPr>
        <sz val="11"/>
        <color rgb="FF000000"/>
        <rFont val="Calibri"/>
      </rPr>
      <t xml:space="preserve">
</t>
    </r>
    <r>
      <rPr>
        <sz val="11"/>
        <color rgb="FF000000"/>
        <rFont val="Calibri"/>
      </rPr>
      <t>Get-VM "VM Name" | Get-HardDisk | Set-HardDisk -Persistence Persistent</t>
    </r>
  </si>
  <si>
    <r>
      <rPr>
        <sz val="11"/>
        <color rgb="FF000000"/>
        <rFont val="Calibri"/>
      </rPr>
      <t xml:space="preserve">The security issue with nonpersistent disk mode is that successful attackers, with a simple shutdown or reboot, might undo or remove any traces that they were ever on the machine. To safeguard against this risk, production virtual machines should be set to use persistent disk mode; additionally, make sure that activity within the VM is logged remotely on a separate server, such as a syslog server or equivalent Windows-based event collector. Without a persistent record of activity on a VM, administrators might never know whether they have been attacked or hacked.  </t>
    </r>
    <r>
      <rPr>
        <sz val="11"/>
        <color rgb="FF000000"/>
        <rFont val="Calibri"/>
      </rPr>
      <t xml:space="preserve">
</t>
    </r>
    <r>
      <rPr>
        <sz val="11"/>
        <color rgb="FF000000"/>
        <rFont val="Calibri"/>
      </rPr>
      <t>There can be valid use cases for these types of disks such as with an application presentation solution where read only disks are desired and such cases should be identified and documented.</t>
    </r>
  </si>
  <si>
    <r>
      <rPr>
        <sz val="11"/>
        <color rgb="FF000000"/>
        <rFont val="Calibri"/>
      </rPr>
      <t>From the vSphere Web Client right-click the Virtual Machine and go to Edit Settings. Review the attached hard disks and verify they are not configured as independent nonpersistent disks.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Get-HardDisk | Select Parent, Name, Filename, DiskType, Persistence | FT -AutoSize</t>
    </r>
    <r>
      <rPr>
        <sz val="11"/>
        <color rgb="FF000000"/>
        <rFont val="Calibri"/>
      </rPr>
      <t xml:space="preserve">
</t>
    </r>
    <r>
      <rPr>
        <sz val="11"/>
        <color rgb="FF000000"/>
        <rFont val="Calibri"/>
      </rPr>
      <t>If the virtual machine has attached disks that are in independent nonpersistent mode and are not documented, this is a finding.</t>
    </r>
  </si>
  <si>
    <t>V-237072</t>
  </si>
  <si>
    <r>
      <rPr>
        <sz val="11"/>
        <rFont val="Calibri"/>
      </rPr>
      <t>HGFS file transfers must be disabled on the virtual machine.</t>
    </r>
  </si>
  <si>
    <r>
      <rPr>
        <sz val="11"/>
        <color rgb="FF000000"/>
        <rFont val="Calibri"/>
      </rPr>
      <t>From the vSphere Web Client right-click the Virtual Machine and go to Edit Settings &gt;&gt; VM Options &gt;&gt; Advanced &gt;&gt; Configuration Parameters &gt;&gt; Edit Configuration. Find the isolation.tools.hgfsServerSet.disable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isolation.tools.hgfsServerSet.disable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isolation.tools.hgfsServerSet.disable | Set-AdvancedSetting -Value true</t>
    </r>
  </si>
  <si>
    <r>
      <rPr>
        <sz val="11"/>
        <color rgb="FF000000"/>
        <rFont val="Calibri"/>
      </rPr>
      <t>Setting isolation.tools.hgfsServerSet.disable to true disables registration of the guest's HGFS server with the host. APIs that use HGFS to transfer files to and from the guest operating system, such as some VIX commands, will not function. An attacker could potentially use this to transfer files inside the guest OS.</t>
    </r>
  </si>
  <si>
    <r>
      <rPr>
        <sz val="11"/>
        <color rgb="FF000000"/>
        <rFont val="Calibri"/>
      </rPr>
      <t>From the vSphere Web Client right-click the Virtual Machine and go to Edit Settings &gt;&gt; VM Options &gt;&gt; Advanced &gt;&gt; Configuration Parameters &gt;&gt; Edit Configuration. Verify the isolation.tools.hgfsServerSet.disable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isolation.tools.hgfsServerSet.disable</t>
    </r>
    <r>
      <rPr>
        <sz val="11"/>
        <color rgb="FF000000"/>
        <rFont val="Calibri"/>
      </rPr>
      <t xml:space="preserve">
</t>
    </r>
    <r>
      <rPr>
        <sz val="11"/>
        <color rgb="FF000000"/>
        <rFont val="Calibri"/>
      </rPr>
      <t>If the virtual machine advanced setting isolation.tools.hgfsServerSet.disable does not exist or is not set to true, this is a finding.</t>
    </r>
  </si>
  <si>
    <t>V-237073</t>
  </si>
  <si>
    <r>
      <rPr>
        <sz val="11"/>
        <rFont val="Calibri"/>
      </rPr>
      <t>The unexposed feature keyword isolation.tools.ghi.autologon.disable must be set on the virtual machine.</t>
    </r>
  </si>
  <si>
    <r>
      <rPr>
        <sz val="11"/>
        <color rgb="FF000000"/>
        <rFont val="Calibri"/>
      </rPr>
      <t>From the vSphere Web Client right-click the Virtual Machine and go to Edit Settings &gt;&gt; VM Options &gt;&gt; Advanced &gt;&gt; Configuration Parameters &gt;&gt; Edit Configuration. Find the isolation.tools.ghi.autologon.disable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isolation.tools.ghi.autologon.disable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isolation.tools.ghi.autologon.disable | Set-AdvancedSetting -Value true</t>
    </r>
  </si>
  <si>
    <r>
      <rPr>
        <sz val="11"/>
        <color rgb="FF000000"/>
        <rFont val="Calibri"/>
      </rPr>
      <t>Some virtual machine advanced settings parameters do not apply on vSphere because VMware virtual machines work on both vSphere and hosted virtualization platforms such as Workstation and Fusion. Explicitly disabling these features reduces the potential for vulnerabilities because it reduces the number of ways in which a guest can affect the host.</t>
    </r>
  </si>
  <si>
    <r>
      <rPr>
        <sz val="11"/>
        <color rgb="FF000000"/>
        <rFont val="Calibri"/>
      </rPr>
      <t>From the vSphere Web Client right-click the Virtual Machine and go to Edit Settings &gt;&gt; VM Options &gt;&gt; Advanced &gt;&gt; Configuration Parameters &gt;&gt; Edit Configuration. Verify the isolation.tools.ghi.autologon.disable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isolation.tools.ghi.autologon.disable</t>
    </r>
    <r>
      <rPr>
        <sz val="11"/>
        <color rgb="FF000000"/>
        <rFont val="Calibri"/>
      </rPr>
      <t xml:space="preserve">
</t>
    </r>
    <r>
      <rPr>
        <sz val="11"/>
        <color rgb="FF000000"/>
        <rFont val="Calibri"/>
      </rPr>
      <t>If the virtual machine advanced setting isolation.tools.ghi.autologon.disable does not exist or is not set to true, this is a finding.</t>
    </r>
  </si>
  <si>
    <t>V-237074</t>
  </si>
  <si>
    <r>
      <rPr>
        <sz val="11"/>
        <rFont val="Calibri"/>
      </rPr>
      <t>The unexposed feature keyword isolation.tools.ghi.launchmenu.change must be set on the virtual machine.</t>
    </r>
  </si>
  <si>
    <r>
      <rPr>
        <sz val="11"/>
        <color rgb="FF000000"/>
        <rFont val="Calibri"/>
      </rPr>
      <t>From the vSphere Web Client right-click the Virtual Machine and go to Edit Settings &gt;&gt; VM Options &gt;&gt; Advanced &gt;&gt; Configuration Parameters &gt;&gt; Edit Configuration. Find the isolation.tools.ghi.launchmenu.change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isolation.tools.ghi.launchmenu.change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isolation.tools.ghi.launchmenu.change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</si>
  <si>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isolation.tools.ghi.launchmenu.change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isolation.tools.ghi.launchmenu.change</t>
    </r>
    <r>
      <rPr>
        <sz val="11"/>
        <color rgb="FF000000"/>
        <rFont val="Calibri"/>
      </rPr>
      <t xml:space="preserve">
</t>
    </r>
    <r>
      <rPr>
        <sz val="11"/>
        <color rgb="FF000000"/>
        <rFont val="Calibri"/>
      </rPr>
      <t>If the virtual machine advanced setting isolation.tools.ghi.launchmenu.change does not exist or is not set to true, this is a finding.</t>
    </r>
  </si>
  <si>
    <t>V-237075</t>
  </si>
  <si>
    <r>
      <rPr>
        <sz val="11"/>
        <rFont val="Calibri"/>
      </rPr>
      <t>The unexposed feature keyword isolation.tools.memSchedFakeSampleStats.disable must be set on the virtual machine.</t>
    </r>
  </si>
  <si>
    <r>
      <rPr>
        <sz val="11"/>
        <color rgb="FF000000"/>
        <rFont val="Calibri"/>
      </rPr>
      <t>From the vSphere Web Client right-click the Virtual Machine and go to Edit Settings &gt;&gt; VM Options &gt;&gt; Advanced &gt;&gt; Configuration Parameters &gt;&gt; Edit Configuration. Find the isolation.tools.memSchedFakeSampleStats.disable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isolation.tools.memSchedFakeSampleStats.disable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isolation.tools.memSchedFakeSampleStats.disable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</si>
  <si>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isolation.tools.memSchedFakeSampleStats.disable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isolation.tools.memSchedFakeSampleStats.disable</t>
    </r>
    <r>
      <rPr>
        <sz val="11"/>
        <color rgb="FF000000"/>
        <rFont val="Calibri"/>
      </rPr>
      <t xml:space="preserve">
</t>
    </r>
    <r>
      <rPr>
        <sz val="11"/>
        <color rgb="FF000000"/>
        <rFont val="Calibri"/>
      </rPr>
      <t>If the virtual machine advanced setting isolation.tools.memSchedFakeSampleStats.disable does not exist or is not set to true, this is a finding.</t>
    </r>
  </si>
  <si>
    <t>V-237076</t>
  </si>
  <si>
    <r>
      <rPr>
        <sz val="11"/>
        <rFont val="Calibri"/>
      </rPr>
      <t>The unexposed feature keyword isolation.tools.ghi.protocolhandler.info.disable must be set on the virtual machine.</t>
    </r>
  </si>
  <si>
    <r>
      <rPr>
        <sz val="11"/>
        <color rgb="FF000000"/>
        <rFont val="Calibri"/>
      </rPr>
      <t>From the vSphere Web Client right-click the Virtual Machine and go to Edit Settings &gt;&gt; VM Options &gt;&gt; Advanced &gt;&gt; Configuration Parameters &gt;&gt; Edit Configuration. Find the isolation.tools.ghi.protocolhandler.info.disable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isolation.tools.ghi.protocolhandler.info.disable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isolation.tools.ghi.protocolhandler.info.disable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</si>
  <si>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isolation.tools.ghi.protocolhandler.info.disable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isolation.tools.ghi.protocolhandler.info.disable</t>
    </r>
    <r>
      <rPr>
        <sz val="11"/>
        <color rgb="FF000000"/>
        <rFont val="Calibri"/>
      </rPr>
      <t xml:space="preserve">
</t>
    </r>
    <r>
      <rPr>
        <sz val="11"/>
        <color rgb="FF000000"/>
        <rFont val="Calibri"/>
      </rPr>
      <t>If the virtual machine advanced setting isolation.tools.ghi.protocolhandler.info.disable does not exist or is not set to true, this is a finding.</t>
    </r>
  </si>
  <si>
    <t>V-237077</t>
  </si>
  <si>
    <r>
      <rPr>
        <sz val="11"/>
        <rFont val="Calibri"/>
      </rPr>
      <t>The unexposed feature keyword isolation.ghi.host.shellAction.disable must be set on the virtual machine.</t>
    </r>
  </si>
  <si>
    <r>
      <rPr>
        <sz val="11"/>
        <color rgb="FF000000"/>
        <rFont val="Calibri"/>
      </rPr>
      <t>From the vSphere Web Client right-click the Virtual Machine and go to Edit Settings &gt;&gt; VM Options &gt;&gt; Advanced &gt;&gt; Configuration Parameters &gt;&gt; Edit Configuration. Find the isolation.ghi.host.shellAction.disable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isolation.ghi.host.shellAction.disable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isolation.ghi.host.shellAction.disable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</si>
  <si>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isolation.ghi.host.shellAction.disable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isolation.ghi.host.shellAction.disable</t>
    </r>
    <r>
      <rPr>
        <sz val="11"/>
        <color rgb="FF000000"/>
        <rFont val="Calibri"/>
      </rPr>
      <t xml:space="preserve">
</t>
    </r>
    <r>
      <rPr>
        <sz val="11"/>
        <color rgb="FF000000"/>
        <rFont val="Calibri"/>
      </rPr>
      <t>If the virtual machine advanced setting isolation.ghi.host.shellAction.disable does not exist or is not set to true, this is a finding.</t>
    </r>
  </si>
  <si>
    <t>V-237078</t>
  </si>
  <si>
    <r>
      <rPr>
        <sz val="11"/>
        <rFont val="Calibri"/>
      </rPr>
      <t>The unexposed feature keyword isolation.tools.ghi.trayicon.disable must be set on the virtual machine.</t>
    </r>
  </si>
  <si>
    <r>
      <rPr>
        <sz val="11"/>
        <color rgb="FF000000"/>
        <rFont val="Calibri"/>
      </rPr>
      <t>From the vSphere Web Client right-click the Virtual Machine and go to Edit Settings &gt;&gt; VM Options &gt;&gt; Advanced &gt;&gt; Configuration Parameters &gt;&gt; Edit Configuration. Find the isolation.tools.ghi.trayicon.disable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isolation.tools.ghi.trayicon.disable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isolation.tools.ghi.trayicon.disable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</si>
  <si>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isolation.tools.ghi.trayicon.disable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isolation.tools.ghi.trayicon.disable</t>
    </r>
    <r>
      <rPr>
        <sz val="11"/>
        <color rgb="FF000000"/>
        <rFont val="Calibri"/>
      </rPr>
      <t xml:space="preserve">
</t>
    </r>
    <r>
      <rPr>
        <sz val="11"/>
        <color rgb="FF000000"/>
        <rFont val="Calibri"/>
      </rPr>
      <t>If the virtual machine advanced setting isolation.tools.ghi.trayicon.disable does not exist or is not set to true, this is a finding.</t>
    </r>
  </si>
  <si>
    <t>V-237079</t>
  </si>
  <si>
    <r>
      <rPr>
        <sz val="11"/>
        <rFont val="Calibri"/>
      </rPr>
      <t>The unexposed feature keyword isolation.tools.unity.disable must be set on the virtual machine.</t>
    </r>
  </si>
  <si>
    <r>
      <rPr>
        <sz val="11"/>
        <color rgb="FF000000"/>
        <rFont val="Calibri"/>
      </rPr>
      <t>From the vSphere Web Client right-click the Virtual Machine and go to Edit Settings &gt;&gt; VM Options &gt;&gt; Advanced &gt;&gt; Configuration Parameters &gt;&gt; Edit Configuration. Find the isolation.tools.unity.disable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isolation.tools.unity.disable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isolation.tools.unity.disable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</si>
  <si>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isolation.tools.unity.disable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isolation.tools.unity.disable</t>
    </r>
    <r>
      <rPr>
        <sz val="11"/>
        <color rgb="FF000000"/>
        <rFont val="Calibri"/>
      </rPr>
      <t xml:space="preserve">
</t>
    </r>
    <r>
      <rPr>
        <sz val="11"/>
        <color rgb="FF000000"/>
        <rFont val="Calibri"/>
      </rPr>
      <t>If the virtual machine advanced setting isolation.tools.unity.disable does not exist or is not set to true, this is a finding</t>
    </r>
  </si>
  <si>
    <t>V-237080</t>
  </si>
  <si>
    <r>
      <rPr>
        <sz val="11"/>
        <rFont val="Calibri"/>
      </rPr>
      <t>The unexposed feature keyword isolation.tools.unityInterlockOperation.disable must be set on the virtual machine.</t>
    </r>
  </si>
  <si>
    <r>
      <rPr>
        <sz val="11"/>
        <color rgb="FF000000"/>
        <rFont val="Calibri"/>
      </rPr>
      <t>From the vSphere Web Client right-click the Virtual Machine and go to Edit Settings &gt;&gt; VM Options &gt;&gt; Advanced &gt;&gt; Configuration Parameters &gt;&gt; Edit Configuration. Find the isolation.tools.unityInterlockOperation.disable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isolation.tools.unityInterlockOperation.disable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isolation.tools.unityInterlockOperation.disable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</si>
  <si>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isolation.tools.unityInterlockOperation.disable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isolation.tools.unityInterlockOperation.disable</t>
    </r>
    <r>
      <rPr>
        <sz val="11"/>
        <color rgb="FF000000"/>
        <rFont val="Calibri"/>
      </rPr>
      <t xml:space="preserve">
</t>
    </r>
    <r>
      <rPr>
        <sz val="11"/>
        <color rgb="FF000000"/>
        <rFont val="Calibri"/>
      </rPr>
      <t>If the virtual machine advanced setting isolation.tools.unityInterlockOperation.disable does not exist or is not set to true, this is a finding.</t>
    </r>
  </si>
  <si>
    <t>V-237081</t>
  </si>
  <si>
    <r>
      <rPr>
        <sz val="11"/>
        <rFont val="Calibri"/>
      </rPr>
      <t>The unexposed feature keyword isolation.tools.unity.push.update.disable must be set on the virtual machine.</t>
    </r>
  </si>
  <si>
    <r>
      <rPr>
        <sz val="11"/>
        <color rgb="FF000000"/>
        <rFont val="Calibri"/>
      </rPr>
      <t>From the vSphere Web Client right-click the Virtual Machine and go to Edit Settings &gt;&gt; VM Options &gt;&gt; Advanced &gt;&gt; Configuration Parameters &gt;&gt; Edit Configuration. Find the isolation.tools.unity.push.update.disable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isolation.tools.unity.push.update.disable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isolation.tools.unity.push.update.disable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</si>
  <si>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isolation.tools.unity.push.update.disable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isolation.tools.unity.push.update.disable</t>
    </r>
    <r>
      <rPr>
        <sz val="11"/>
        <color rgb="FF000000"/>
        <rFont val="Calibri"/>
      </rPr>
      <t xml:space="preserve">
</t>
    </r>
    <r>
      <rPr>
        <sz val="11"/>
        <color rgb="FF000000"/>
        <rFont val="Calibri"/>
      </rPr>
      <t>If the virtual machine advanced setting isolation.tools.unity.push.update.disable does not exist or is not set to true, this is a finding.</t>
    </r>
  </si>
  <si>
    <t>V-237082</t>
  </si>
  <si>
    <r>
      <rPr>
        <sz val="11"/>
        <rFont val="Calibri"/>
      </rPr>
      <t>The unexposed feature keyword isolation.tools.unity.taskbar.disable must be set on the virtual machine.</t>
    </r>
  </si>
  <si>
    <r>
      <rPr>
        <sz val="11"/>
        <color rgb="FF000000"/>
        <rFont val="Calibri"/>
      </rPr>
      <t>From the vSphere Web Client right-click the Virtual Machine and go to Edit Settings &gt;&gt; VM Options &gt;&gt; Advanced &gt;&gt; Configuration Parameters &gt;&gt; Edit Configuration. Find the isolation.tools.unity.taskbar.disable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isolation.tools.unity.taskbar.disable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isolation.tools.unity.taskbar.disable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</si>
  <si>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isolation.tools.unity.taskbar.disable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isolation.tools.unity.taskbar.disable</t>
    </r>
    <r>
      <rPr>
        <sz val="11"/>
        <color rgb="FF000000"/>
        <rFont val="Calibri"/>
      </rPr>
      <t xml:space="preserve">
</t>
    </r>
    <r>
      <rPr>
        <sz val="11"/>
        <color rgb="FF000000"/>
        <rFont val="Calibri"/>
      </rPr>
      <t>If the virtual machine advanced setting isolation.tools.unity.taskbar.disable does not exist or is not set to true, this is a finding.</t>
    </r>
  </si>
  <si>
    <t>V-237083</t>
  </si>
  <si>
    <r>
      <rPr>
        <sz val="11"/>
        <rFont val="Calibri"/>
      </rPr>
      <t>The unexposed feature keyword isolation.tools.unityActive.disable must be set on the virtual machine.</t>
    </r>
  </si>
  <si>
    <r>
      <rPr>
        <sz val="11"/>
        <color rgb="FF000000"/>
        <rFont val="Calibri"/>
      </rPr>
      <t>From the vSphere Web Client right-click the Virtual Machine and go to Edit Settings &gt;&gt; VM Options &gt;&gt; Advanced &gt;&gt; Configuration Parameters &gt;&gt; Edit Configuration. Find the isolation.tools.unityActive.disable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isolation.tools.unityActive.disable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isolation.tools.unityActive.disable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</si>
  <si>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isolation.tools.unityActive.disable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isolation.tools.unityActive.disable</t>
    </r>
    <r>
      <rPr>
        <sz val="11"/>
        <color rgb="FF000000"/>
        <rFont val="Calibri"/>
      </rPr>
      <t xml:space="preserve">
</t>
    </r>
    <r>
      <rPr>
        <sz val="11"/>
        <color rgb="FF000000"/>
        <rFont val="Calibri"/>
      </rPr>
      <t>If the virtual machine advanced setting isolation.tools.unityActive.disable does not exist or is not set to true, this is a finding.</t>
    </r>
  </si>
  <si>
    <t>V-237084</t>
  </si>
  <si>
    <r>
      <rPr>
        <sz val="11"/>
        <rFont val="Calibri"/>
      </rPr>
      <t>The unexposed feature keyword isolation.tools.unity.windowContents.disable must be set on the virtual machine.</t>
    </r>
  </si>
  <si>
    <r>
      <rPr>
        <sz val="11"/>
        <color rgb="FF000000"/>
        <rFont val="Calibri"/>
      </rPr>
      <t>From the vSphere Web Client right-click the Virtual Machine and go to Edit Settings &gt;&gt; VM Options &gt;&gt; Advanced &gt;&gt; Configuration Parameters &gt;&gt; Edit Configuration. Find the isolation.tools.unity.windowContents.disable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isolation.tools.unity.windowContents.disable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isolation.tools.unity.windowContents.disable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</si>
  <si>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isolation.tools.unity.windowContents.disable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isolation.tools.unity.windowContents.disable</t>
    </r>
    <r>
      <rPr>
        <sz val="11"/>
        <color rgb="FF000000"/>
        <rFont val="Calibri"/>
      </rPr>
      <t xml:space="preserve">
</t>
    </r>
    <r>
      <rPr>
        <sz val="11"/>
        <color rgb="FF000000"/>
        <rFont val="Calibri"/>
      </rPr>
      <t>If the virtual machine advanced setting isolation.tools.unity.windowContents.disable does not exist or is not set to true, this is a finding.</t>
    </r>
  </si>
  <si>
    <t>V-237085</t>
  </si>
  <si>
    <r>
      <rPr>
        <sz val="11"/>
        <rFont val="Calibri"/>
      </rPr>
      <t>The unexposed feature keyword isolation.tools.vmxDnDVersionGet.disable must be set on the virtual machine.</t>
    </r>
  </si>
  <si>
    <r>
      <rPr>
        <sz val="11"/>
        <color rgb="FF000000"/>
        <rFont val="Calibri"/>
      </rPr>
      <t>From the vSphere Web Client right-click the Virtual Machine and go to Edit Settings &gt;&gt; VM Options &gt;&gt; Advanced &gt;&gt; Configuration Parameters &gt;&gt; Edit Configuration. Find the isolation.tools.vmxDnDVersionGet.disable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isolation.tools.vmxDnDVersionGet.disable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isolation.tools.vmxDnDVersionGet.disable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</si>
  <si>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isolation.tools.vmxDnDVersionGet.disable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isolation.tools.vmxDnDVersionGet.disable</t>
    </r>
    <r>
      <rPr>
        <sz val="11"/>
        <color rgb="FF000000"/>
        <rFont val="Calibri"/>
      </rPr>
      <t xml:space="preserve">
</t>
    </r>
    <r>
      <rPr>
        <sz val="11"/>
        <color rgb="FF000000"/>
        <rFont val="Calibri"/>
      </rPr>
      <t>If the virtual machine advanced setting isolation.tools.vmxDnDVersionGet.disable does not exist or is not set to true, this is a finding.</t>
    </r>
  </si>
  <si>
    <t>V-237086</t>
  </si>
  <si>
    <r>
      <rPr>
        <sz val="11"/>
        <rFont val="Calibri"/>
      </rPr>
      <t>The unexposed feature keyword isolation.tools.guestDnDVersionSet.disable must be set on the virtual machine.</t>
    </r>
  </si>
  <si>
    <r>
      <rPr>
        <sz val="11"/>
        <color rgb="FF000000"/>
        <rFont val="Calibri"/>
      </rPr>
      <t>From the vSphere Web Client right-click the Virtual Machine and go to Edit Settings &gt;&gt; VM Options &gt;&gt; Advanced &gt;&gt; Configuration Parameters &gt;&gt; Edit Configuration. Find the isolation.tools.guestDnDVersionSet.disable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isolation.tools.guestDnDVersionSet.disable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isolation.tools.guestDnDVersionSet.disable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</si>
  <si>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isolation.tools.guestDnDVersionSet.disable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isolation.tools.guestDnDVersionSet.disable</t>
    </r>
    <r>
      <rPr>
        <sz val="11"/>
        <color rgb="FF000000"/>
        <rFont val="Calibri"/>
      </rPr>
      <t xml:space="preserve">
</t>
    </r>
    <r>
      <rPr>
        <sz val="11"/>
        <color rgb="FF000000"/>
        <rFont val="Calibri"/>
      </rPr>
      <t>If the virtual machine advanced setting isolation.tools.guestDnDVersionSet.disable does not exist or is not set to true, this is a finding.</t>
    </r>
  </si>
  <si>
    <t>V-237087</t>
  </si>
  <si>
    <r>
      <rPr>
        <sz val="11"/>
        <rFont val="Calibri"/>
      </rPr>
      <t>Unauthorized floppy devices must be disconnected on the virtual machine.</t>
    </r>
  </si>
  <si>
    <r>
      <rPr>
        <sz val="11"/>
        <color rgb="FF000000"/>
        <rFont val="Calibri"/>
      </rPr>
      <t>If the floppy drive is required to be present, then from the vSphere Client right-click the Virtual Machine and go to Edit Settings, make sure the drive is not connected and will not "Connect at power on".</t>
    </r>
    <r>
      <rPr>
        <sz val="11"/>
        <color rgb="FF000000"/>
        <rFont val="Calibri"/>
      </rPr>
      <t xml:space="preserve">
</t>
    </r>
    <r>
      <rPr>
        <sz val="11"/>
        <color rgb="FF000000"/>
        <rFont val="Calibri"/>
      </rPr>
      <t>If the floppy drive is not required, then from the vSphere Client power off the virtual machine, right-click the Virtual Machine and go to Edit Settings, select the floppy drive and click the circle-x to remove then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Get-FloppyDrive | Remove-FloppyDrive</t>
    </r>
  </si>
  <si>
    <r>
      <rPr>
        <sz val="11"/>
        <color rgb="FF000000"/>
        <rFont val="Calibri"/>
      </rPr>
      <t>Ensure that no device is connected to a virtual machine if it is not required. For example, floppy, serial and parallel ports are rarely used for virtual machines in a datacenter environment, and CD/DVD drives are usually connected only temporarily during software installation.</t>
    </r>
  </si>
  <si>
    <r>
      <rPr>
        <sz val="11"/>
        <color rgb="FF000000"/>
        <rFont val="Calibri"/>
      </rPr>
      <t>From the vSphere Web Client right-click the Virtual Machine and go to Edit Settings. Review the VMs hardware and verify no floppy device is connected.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Get-FloppyDrive | Select Parent, Name, ConnectionState</t>
    </r>
    <r>
      <rPr>
        <sz val="11"/>
        <color rgb="FF000000"/>
        <rFont val="Calibri"/>
      </rPr>
      <t xml:space="preserve">
</t>
    </r>
    <r>
      <rPr>
        <sz val="11"/>
        <color rgb="FF000000"/>
        <rFont val="Calibri"/>
      </rPr>
      <t>If a virtual machine has a floppy drive connected, this is a finding.</t>
    </r>
  </si>
  <si>
    <t>V-237088</t>
  </si>
  <si>
    <r>
      <rPr>
        <sz val="11"/>
        <rFont val="Calibri"/>
      </rPr>
      <t>Unauthorized CD/DVD devices must be disconnected on the virtual machine.</t>
    </r>
  </si>
  <si>
    <r>
      <rPr>
        <sz val="11"/>
        <color rgb="FF000000"/>
        <rFont val="Calibri"/>
      </rPr>
      <t>From the vSphere Web Client right-click the Virtual Machine and go to Edit Settings. Select the CD/DVD drive and uncheck "Connected" and "Connect at power on" and remove any attached ISOs.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Get-CDDrive | Set-CDDrive -NoMedia</t>
    </r>
  </si>
  <si>
    <r>
      <rPr>
        <sz val="11"/>
        <color rgb="FF000000"/>
        <rFont val="Calibri"/>
      </rPr>
      <t>From the vSphere Web Client right-click the Virtual Machine and go to Edit Settings. Review the VMs hardware and verify no CD/DVD drives are connected.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Get-CDDrive | Where {$_.extensiondata.connectable.connected -eq $true} | Select Parent,Name</t>
    </r>
    <r>
      <rPr>
        <sz val="11"/>
        <color rgb="FF000000"/>
        <rFont val="Calibri"/>
      </rPr>
      <t xml:space="preserve">
</t>
    </r>
    <r>
      <rPr>
        <sz val="11"/>
        <color rgb="FF000000"/>
        <rFont val="Calibri"/>
      </rPr>
      <t>If a virtual machine has a CD/DVD drive connected other than temporarily, this is a finding.</t>
    </r>
  </si>
  <si>
    <t>V-237089</t>
  </si>
  <si>
    <r>
      <rPr>
        <sz val="11"/>
        <rFont val="Calibri"/>
      </rPr>
      <t>Unauthorized parallel devices must be disconnected on the virtual machine.</t>
    </r>
  </si>
  <si>
    <r>
      <rPr>
        <sz val="11"/>
        <color rgb="FF000000"/>
        <rFont val="Calibri"/>
      </rPr>
      <t>The VM must be powered off in order to remove a parallel device.</t>
    </r>
    <r>
      <rPr>
        <sz val="11"/>
        <color rgb="FF000000"/>
        <rFont val="Calibri"/>
      </rPr>
      <t xml:space="preserve">
</t>
    </r>
    <r>
      <rPr>
        <sz val="11"/>
        <color rgb="FF000000"/>
        <rFont val="Calibri"/>
      </rPr>
      <t>From the vSphere Web Client right-click the Virtual Machine and go to Edit Settings. Select the parallel device and click the circle-x to remove then OK.</t>
    </r>
  </si>
  <si>
    <r>
      <rPr>
        <sz val="11"/>
        <color rgb="FF000000"/>
        <rFont val="Calibri"/>
      </rPr>
      <t>From the vSphere Web Client right-click the Virtual Machine and go to Edit Settings. Review the VMs hardware and verify no parallel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{$_.ExtensionData.Config.Hardware.Device.DeviceInfo.Label -match "parallel"}</t>
    </r>
    <r>
      <rPr>
        <sz val="11"/>
        <color rgb="FF000000"/>
        <rFont val="Calibri"/>
      </rPr>
      <t xml:space="preserve">
</t>
    </r>
    <r>
      <rPr>
        <sz val="11"/>
        <color rgb="FF000000"/>
        <rFont val="Calibri"/>
      </rPr>
      <t>If a virtual machine has a parallel device present, this is a finding.</t>
    </r>
  </si>
  <si>
    <t>V-237090</t>
  </si>
  <si>
    <r>
      <rPr>
        <sz val="11"/>
        <rFont val="Calibri"/>
      </rPr>
      <t>Unauthorized serial devices must be disconnected on the virtual machine.</t>
    </r>
  </si>
  <si>
    <r>
      <rPr>
        <sz val="11"/>
        <color rgb="FF000000"/>
        <rFont val="Calibri"/>
      </rPr>
      <t>The VM must be powered off in order to remove a serial device.</t>
    </r>
    <r>
      <rPr>
        <sz val="11"/>
        <color rgb="FF000000"/>
        <rFont val="Calibri"/>
      </rPr>
      <t xml:space="preserve">
</t>
    </r>
    <r>
      <rPr>
        <sz val="11"/>
        <color rgb="FF000000"/>
        <rFont val="Calibri"/>
      </rPr>
      <t>From the vSphere Web Client right-click the Virtual Machine and go to Edit Settings. Select the serial device and click the circle-x to remove then OK.</t>
    </r>
  </si>
  <si>
    <r>
      <rPr>
        <sz val="11"/>
        <color rgb="FF000000"/>
        <rFont val="Calibri"/>
      </rPr>
      <t>From the vSphere Web Client right-click the Virtual Machine and go to Edit Settings. Review the VMs hardware and verify no serial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{$_.ExtensionData.Config.Hardware.Device.DeviceInfo.Label -match "serial"}</t>
    </r>
    <r>
      <rPr>
        <sz val="11"/>
        <color rgb="FF000000"/>
        <rFont val="Calibri"/>
      </rPr>
      <t xml:space="preserve">
</t>
    </r>
    <r>
      <rPr>
        <sz val="11"/>
        <color rgb="FF000000"/>
        <rFont val="Calibri"/>
      </rPr>
      <t>If a virtual machine has a serial device present, this is a finding.</t>
    </r>
  </si>
  <si>
    <t>V-237091</t>
  </si>
  <si>
    <r>
      <rPr>
        <sz val="11"/>
        <rFont val="Calibri"/>
      </rPr>
      <t>Unauthorized USB devices must be disconnected on the virtual machine.</t>
    </r>
  </si>
  <si>
    <r>
      <rPr>
        <sz val="11"/>
        <color rgb="FF000000"/>
        <rFont val="Calibri"/>
      </rPr>
      <t>From the vSphere Web Client right-click the Virtual Machine and go to Edit Settings. Select the USB controller and click the circle-x to remove then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Get-USBDevice | Remove-USBDevice</t>
    </r>
    <r>
      <rPr>
        <sz val="11"/>
        <color rgb="FF000000"/>
        <rFont val="Calibri"/>
      </rPr>
      <t xml:space="preserve">
</t>
    </r>
    <r>
      <rPr>
        <sz val="11"/>
        <color rgb="FF000000"/>
        <rFont val="Calibri"/>
      </rPr>
      <t>Note:  This will not remove the USB controller just any connected devices.</t>
    </r>
  </si>
  <si>
    <r>
      <rPr>
        <sz val="11"/>
        <color rgb="FF000000"/>
        <rFont val="Calibri"/>
      </rPr>
      <t>From the vSphere Web Client right-click the Virtual Machine and go to Edit Settings. Review the VMs hardware and verify no USB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commands:</t>
    </r>
    <r>
      <rPr>
        <sz val="11"/>
        <color rgb="FF000000"/>
        <rFont val="Calibri"/>
      </rPr>
      <t xml:space="preserve">
</t>
    </r>
    <r>
      <rPr>
        <sz val="11"/>
        <color rgb="FF000000"/>
        <rFont val="Calibri"/>
      </rPr>
      <t>Get-VM | Where {$_.ExtensionData.Config.Hardware.Device.DeviceInfo.Label -match "usb"}</t>
    </r>
    <r>
      <rPr>
        <sz val="11"/>
        <color rgb="FF000000"/>
        <rFont val="Calibri"/>
      </rPr>
      <t xml:space="preserve">
</t>
    </r>
    <r>
      <rPr>
        <sz val="11"/>
        <color rgb="FF000000"/>
        <rFont val="Calibri"/>
      </rPr>
      <t>Get-VM | Get-UsbDevice</t>
    </r>
    <r>
      <rPr>
        <sz val="11"/>
        <color rgb="FF000000"/>
        <rFont val="Calibri"/>
      </rPr>
      <t xml:space="preserve">
</t>
    </r>
    <r>
      <rPr>
        <sz val="11"/>
        <color rgb="FF000000"/>
        <rFont val="Calibri"/>
      </rPr>
      <t>If a virtual machine has any USB devices or USB controllers present, this is a finding.</t>
    </r>
    <r>
      <rPr>
        <sz val="11"/>
        <color rgb="FF000000"/>
        <rFont val="Calibri"/>
      </rPr>
      <t xml:space="preserve">
</t>
    </r>
    <r>
      <rPr>
        <sz val="11"/>
        <color rgb="FF000000"/>
        <rFont val="Calibri"/>
      </rPr>
      <t>If USB smart card readers are used to pass smart cards through the VM console to a VM then the use of a USB controller and USB devices for that purpose is not a finding.</t>
    </r>
  </si>
  <si>
    <t>V-237092</t>
  </si>
  <si>
    <r>
      <rPr>
        <sz val="11"/>
        <rFont val="Calibri"/>
      </rPr>
      <t>Console connection sharing must be limited on the virtual machine.</t>
    </r>
  </si>
  <si>
    <r>
      <rPr>
        <sz val="11"/>
        <color rgb="FF000000"/>
        <rFont val="Calibri"/>
      </rPr>
      <t>From the vSphere Web Client right-click the Virtual Machine and go to Edit Settings &gt;&gt; VM Options &gt;&gt; Advanced &gt;&gt; Configuration Parameters &gt;&gt; Edit Configuration. Find the RemoteDisplay.maxConnections value and set it to 1.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RemoteDisplay.maxConnections -Value 1</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RemoteDisplay.maxConnections | Set-AdvancedSetting -Value 1</t>
    </r>
  </si>
  <si>
    <r>
      <rPr>
        <sz val="11"/>
        <color rgb="FF000000"/>
        <rFont val="Calibri"/>
      </rPr>
      <t>By default, remote console sessions can be connected to by more than one user at a time.  When multiple sessions are activated, each terminal window gets a notification about the new session. If an administrator in the VM logs in using a VMware remote console during their session, a non-administrator in the VM might connect to the console and observe the administrator's actions.  Also, this could result in an administrator losing console access to a virtual machine. For example, if a jump box is being used for an open console session and the admin loses connection to that box, then the console session remains open. Allowing two console sessions permits debugging via a shared session.  For highest security, only one remote console session at a time should be allowed.</t>
    </r>
  </si>
  <si>
    <r>
      <rPr>
        <sz val="11"/>
        <color rgb="FF000000"/>
        <rFont val="Calibri"/>
      </rPr>
      <t>From the vSphere Web Client right-click the Virtual Machine and go to Edit Settings &gt;&gt; VM Options &gt;&gt; Advanced &gt;&gt; Configuration Parameters &gt;&gt; Edit Configuration. Verify the RemoteDisplay.maxConnections value is set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RemoteDisplay.maxConnections</t>
    </r>
    <r>
      <rPr>
        <sz val="11"/>
        <color rgb="FF000000"/>
        <rFont val="Calibri"/>
      </rPr>
      <t xml:space="preserve">
</t>
    </r>
    <r>
      <rPr>
        <sz val="11"/>
        <color rgb="FF000000"/>
        <rFont val="Calibri"/>
      </rPr>
      <t>If the virtual machine advanced setting RemoteDisplay.maxConnections does not exist or is not set to 1, this is a finding.</t>
    </r>
  </si>
  <si>
    <t>V-237093</t>
  </si>
  <si>
    <r>
      <rPr>
        <sz val="11"/>
        <rFont val="Calibri"/>
      </rPr>
      <t>Console access through the VNC protocol must be disabled on the virtual machine.</t>
    </r>
  </si>
  <si>
    <r>
      <rPr>
        <sz val="11"/>
        <color rgb="FF000000"/>
        <rFont val="Calibri"/>
      </rPr>
      <t>From the vSphere Web Client right-click the Virtual Machine and go to Edit Settings &gt;&gt; VM Options &gt;&gt; Advanced &gt;&gt; Configuration Parameters &gt;&gt; Edit Configuration. Find the RemoteDisplay.vnc.enabled value and set it to false.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RemoteDisplay.vnc.enabled -Value false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RemoteDisplay.vnc.enabled | Set-AdvancedSetting -Value false</t>
    </r>
  </si>
  <si>
    <r>
      <rPr>
        <sz val="11"/>
        <color rgb="FF000000"/>
        <rFont val="Calibri"/>
      </rPr>
      <t>The VM console enables you to connect to the console of a virtual machine, in effect seeing what a monitor on a physical server would show. This console is also available via the VNC protocol and should be disabled.</t>
    </r>
  </si>
  <si>
    <r>
      <rPr>
        <sz val="11"/>
        <color rgb="FF000000"/>
        <rFont val="Calibri"/>
      </rPr>
      <t>From the vSphere Web Client right-click the Virtual Machine and go to Edit Settings &gt;&gt; VM Options &gt;&gt; Advanced &gt;&gt; Configuration Parameters &gt;&gt; Edit Configuration. Verify the RemoteDisplay.vnc.enabled value is set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RemoteDisplay.vnc.enabled</t>
    </r>
    <r>
      <rPr>
        <sz val="11"/>
        <color rgb="FF000000"/>
        <rFont val="Calibri"/>
      </rPr>
      <t xml:space="preserve">
</t>
    </r>
    <r>
      <rPr>
        <sz val="11"/>
        <color rgb="FF000000"/>
        <rFont val="Calibri"/>
      </rPr>
      <t>If the virtual machine advanced setting RemoteDisplay.vnc.enabled does not exist or is not set to false, this is a finding.</t>
    </r>
  </si>
  <si>
    <t>V-237094</t>
  </si>
  <si>
    <r>
      <rPr>
        <sz val="11"/>
        <rFont val="Calibri"/>
      </rPr>
      <t>Informational messages from the virtual machine to the VMX file must be limited on the virtual machine.</t>
    </r>
  </si>
  <si>
    <r>
      <rPr>
        <sz val="11"/>
        <color rgb="FF000000"/>
        <rFont val="Calibri"/>
      </rPr>
      <t>From the vSphere Web Client right-click the Virtual Machine and go to Edit Settings &gt;&gt; VM Options &gt;&gt; Advanced &gt;&gt; Configuration Parameters &gt;&gt; Edit Configuration. Find the tools.setinfo.sizeLimit value and set it to 1048576.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tools.setinfo.sizeLimit -Value 1048576</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tools.setinfo.sizeLimit | Set-AdvancedSetting -Value 1048576</t>
    </r>
  </si>
  <si>
    <r>
      <rPr>
        <sz val="11"/>
        <color rgb="FF000000"/>
        <rFont val="Calibri"/>
      </rPr>
      <t>The configuration file containing these name-value pairs is limited to a size of 1MB. If not limited, VMware tools in the guest OS are capable of sending a large and continuous data stream to the host. This 1MB capacity should be sufficient for most cases, but this value can change if necessary. The value can be increased if large amounts of custom information are being stored in the configuration file. The default limit is 1MB.</t>
    </r>
  </si>
  <si>
    <r>
      <rPr>
        <sz val="11"/>
        <color rgb="FF000000"/>
        <rFont val="Calibri"/>
      </rPr>
      <t>From the vSphere Web Client right-click the Virtual Machine and go to Edit Settings &gt;&gt; VM Options &gt;&gt; Advanced &gt;&gt; Configuration Parameters &gt;&gt; Edit Configuration. Verify the tools.setinfo.sizeLimit value is set to 1048576.</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tools.setinfo.sizeLimit</t>
    </r>
    <r>
      <rPr>
        <sz val="11"/>
        <color rgb="FF000000"/>
        <rFont val="Calibri"/>
      </rPr>
      <t xml:space="preserve">
</t>
    </r>
    <r>
      <rPr>
        <sz val="11"/>
        <color rgb="FF000000"/>
        <rFont val="Calibri"/>
      </rPr>
      <t>If the virtual machine advanced setting tools.setinfo.sizeLimit does not exist or is not set to 1048576, this is a finding.</t>
    </r>
  </si>
  <si>
    <t>V-237095</t>
  </si>
  <si>
    <r>
      <rPr>
        <sz val="11"/>
        <rFont val="Calibri"/>
      </rPr>
      <t>Unauthorized removal, connection and modification of devices must be prevented on the virtual machine.</t>
    </r>
  </si>
  <si>
    <r>
      <rPr>
        <sz val="11"/>
        <color rgb="FF000000"/>
        <rFont val="Calibri"/>
      </rPr>
      <t>From the vSphere Web Client right-click the Virtual Machine and go to Edit Settings &gt;&gt; VM Options &gt;&gt; Advanced &gt;&gt; Configuration Parameters &gt;&gt; Edit Configuration. Find the isolation.device.connectable.disable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isolation.device.connectable.disable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isolation.device.connectable.disable | Set-AdvancedSetting -Value true</t>
    </r>
  </si>
  <si>
    <r>
      <rPr>
        <sz val="11"/>
        <color rgb="FF000000"/>
        <rFont val="Calibri"/>
      </rPr>
      <t xml:space="preserve">In a virtual machine, users and processes without root or administrator privileges can connect or disconnect devices, such as network adaptors and CD-ROM drives, and can modify device settings. Use the virtual machine settings editor or configuration editor to remove unneeded or unused hardware devices. If you want to use the device again, you can prevent a user or running process in the virtual machine from connecting, disconnecting, or modifying a device from within the guest operating system. By default, a rogue user with nonadministrator privileges in a virtual machine can: </t>
    </r>
    <r>
      <rPr>
        <sz val="11"/>
        <color rgb="FF000000"/>
        <rFont val="Calibri"/>
      </rPr>
      <t xml:space="preserve">
</t>
    </r>
    <r>
      <rPr>
        <sz val="11"/>
        <color rgb="FF000000"/>
        <rFont val="Calibri"/>
      </rPr>
      <t>1. Connect a disconnected CD-ROM drive and access sensitive information on the media left in the drive</t>
    </r>
    <r>
      <rPr>
        <sz val="11"/>
        <color rgb="FF000000"/>
        <rFont val="Calibri"/>
      </rPr>
      <t xml:space="preserve">
</t>
    </r>
    <r>
      <rPr>
        <sz val="11"/>
        <color rgb="FF000000"/>
        <rFont val="Calibri"/>
      </rPr>
      <t>2. Disconnect a network adaptor to isolate the virtual machine from its network, which is a denial of service</t>
    </r>
    <r>
      <rPr>
        <sz val="11"/>
        <color rgb="FF000000"/>
        <rFont val="Calibri"/>
      </rPr>
      <t xml:space="preserve">
</t>
    </r>
    <r>
      <rPr>
        <sz val="11"/>
        <color rgb="FF000000"/>
        <rFont val="Calibri"/>
      </rPr>
      <t>3. Modify settings on a device</t>
    </r>
  </si>
  <si>
    <r>
      <rPr>
        <sz val="11"/>
        <color rgb="FF000000"/>
        <rFont val="Calibri"/>
      </rPr>
      <t>From the vSphere Web Client right-click the Virtual Machine and go to Edit Settings &gt;&gt; VM Options &gt;&gt; Advanced &gt;&gt; Configuration Parameters &gt;&gt; Edit Configuration. Verify the isolation.device.connectable.disable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isolation.device.connectable.disable</t>
    </r>
    <r>
      <rPr>
        <sz val="11"/>
        <color rgb="FF000000"/>
        <rFont val="Calibri"/>
      </rPr>
      <t xml:space="preserve">
</t>
    </r>
    <r>
      <rPr>
        <sz val="11"/>
        <color rgb="FF000000"/>
        <rFont val="Calibri"/>
      </rPr>
      <t>If the virtual machine advanced setting isolation.device.connectable.disable does not exist or is not set to true, this is a finding.</t>
    </r>
  </si>
  <si>
    <t>V-237096</t>
  </si>
  <si>
    <r>
      <rPr>
        <sz val="11"/>
        <rFont val="Calibri"/>
      </rPr>
      <t>The virtual machine must not be able to obtain host information from the hypervisor.</t>
    </r>
  </si>
  <si>
    <r>
      <rPr>
        <sz val="11"/>
        <color rgb="FF000000"/>
        <rFont val="Calibri"/>
      </rPr>
      <t>From the vSphere Web Client right-click the Virtual Machine and go to Edit Settings &gt;&gt; VM Options &gt;&gt; Advanced &gt;&gt; Configuration Parameters &gt;&gt; Edit Configuration. Find the tools.guestlib.enableHostInfo value and set it to false.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tools.guestlib.enableHostInfo -Value false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tools.guestlib.enableHostInfo | Set-AdvancedSetting -Value false</t>
    </r>
  </si>
  <si>
    <r>
      <rPr>
        <sz val="11"/>
        <color rgb="FF000000"/>
        <rFont val="Calibri"/>
      </rPr>
      <t>If enabled, a VM can obtain detailed information about the physical host. The default value for the parameter is FALSE. This setting should not be TRUE unless a particular VM requires this information for performance monitoring. An adversary potentially can use this information to inform further attacks on the host.</t>
    </r>
  </si>
  <si>
    <r>
      <rPr>
        <sz val="11"/>
        <color rgb="FF000000"/>
        <rFont val="Calibri"/>
      </rPr>
      <t>From the vSphere Web Client right-click the Virtual Machine and go to Edit Settings &gt;&gt; VM Options &gt;&gt; Advanced &gt;&gt; Configuration Parameters &gt;&gt; Edit Configuration. Verify the tools.guestlib.enableHostInfo value is set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tools.guestlib.enableHostInfo</t>
    </r>
    <r>
      <rPr>
        <sz val="11"/>
        <color rgb="FF000000"/>
        <rFont val="Calibri"/>
      </rPr>
      <t xml:space="preserve">
</t>
    </r>
    <r>
      <rPr>
        <sz val="11"/>
        <color rgb="FF000000"/>
        <rFont val="Calibri"/>
      </rPr>
      <t>If the virtual machine advanced setting tools.guestlib.enableHostInfo does not exist or is not set to false, this is a finding.</t>
    </r>
  </si>
  <si>
    <t>V-237097</t>
  </si>
  <si>
    <r>
      <rPr>
        <sz val="11"/>
        <rFont val="Calibri"/>
      </rPr>
      <t>Shared salt values must be disabled on the virtual machine.</t>
    </r>
  </si>
  <si>
    <r>
      <rPr>
        <sz val="11"/>
        <color rgb="FF000000"/>
        <rFont val="Calibri"/>
      </rPr>
      <t>From the vSphere Web Client right-click the Virtual Machine and go to Edit Settings &gt;&gt; VM Options &gt;&gt; Advanced &gt;&gt; Configuration Parameters &gt;&gt; Edit Configuration. Delete the sched.mem.pshare.salt setting.</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sched.mem.pshare.salt | Remove-AdvancedSetting</t>
    </r>
  </si>
  <si>
    <r>
      <rPr>
        <sz val="11"/>
        <color rgb="FF000000"/>
        <rFont val="Calibri"/>
      </rPr>
      <t>When salting is enabled (Mem.ShareForceSalting=1 or 2) in order to share a page between two virtual machines both salt and the content of the page must be same. A salt value is a configurable advanced option for each virtual machine. You can manually specify the salt values in the virtual machine's advanced settings with the new option sched.mem.pshare.salt. If this option is not present in the virtual machine's advanced settings, then the value of the vc.uuid option is taken as the default value. Since the vc.uuid is unique to each virtual machine, by default TPS happens only among the pages belonging to a particular virtual machine (Intra-VM).</t>
    </r>
  </si>
  <si>
    <r>
      <rPr>
        <sz val="11"/>
        <color rgb="FF000000"/>
        <rFont val="Calibri"/>
      </rPr>
      <t>From the vSphere Web Client right-click the Virtual Machine and go to Edit Settings &gt;&gt; VM Options &gt;&gt; Advanced &gt;&gt; Configuration Parameters &gt;&gt; Edit Configuration. Verify the sched.mem.pshare.salt setting does not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sched.mem.pshare.salt</t>
    </r>
    <r>
      <rPr>
        <sz val="11"/>
        <color rgb="FF000000"/>
        <rFont val="Calibri"/>
      </rPr>
      <t xml:space="preserve">
</t>
    </r>
    <r>
      <rPr>
        <sz val="11"/>
        <color rgb="FF000000"/>
        <rFont val="Calibri"/>
      </rPr>
      <t>If the virtual machine advanced setting sched.mem.pshare.salt exists, this is a finding.</t>
    </r>
  </si>
  <si>
    <t>V-237098</t>
  </si>
  <si>
    <r>
      <rPr>
        <sz val="11"/>
        <rFont val="Calibri"/>
      </rPr>
      <t>Access to virtual machines through the dvfilter network APIs must be controlled.</t>
    </r>
  </si>
  <si>
    <r>
      <rPr>
        <sz val="11"/>
        <color rgb="FF000000"/>
        <rFont val="Calibri"/>
      </rPr>
      <t>From the vSphere Web Client right-click the Virtual Machine and go to Edit Settings &gt;&gt; VM Options &gt;&gt; Advanced &gt;&gt; Configuration Parameters &gt;&gt; Edit Configuration. Look for settings with the format ethernet*.filter*.name. Ensure only required VMs use this setting.</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ethernetX.filterY.name | Remove-AdvancedSetting</t>
    </r>
    <r>
      <rPr>
        <sz val="11"/>
        <color rgb="FF000000"/>
        <rFont val="Calibri"/>
      </rPr>
      <t xml:space="preserve">
</t>
    </r>
    <r>
      <rPr>
        <sz val="11"/>
        <color rgb="FF000000"/>
        <rFont val="Calibri"/>
      </rPr>
      <t>Note:  Change the X and Y values to match the specific setting in your environment.</t>
    </r>
  </si>
  <si>
    <r>
      <rPr>
        <sz val="11"/>
        <color rgb="FF000000"/>
        <rFont val="Calibri"/>
      </rPr>
      <t>An attacker might compromise a VM by making use the dvFilter API. Configure only those VMs to use the API that need this access.</t>
    </r>
  </si>
  <si>
    <r>
      <rPr>
        <sz val="11"/>
        <color rgb="FF000000"/>
        <rFont val="Calibri"/>
      </rPr>
      <t>From the vSphere Web Client right-click the Virtual Machine and go to Edit Settings &gt;&gt; VM Options &gt;&gt; Advanced &gt;&gt; Configuration Parameters &gt;&gt; Edit Configuration. Look for settings with the format ethernet*.filter*.name.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"ethernet*.filter*.name*"</t>
    </r>
    <r>
      <rPr>
        <sz val="11"/>
        <color rgb="FF000000"/>
        <rFont val="Calibri"/>
      </rPr>
      <t xml:space="preserve">
</t>
    </r>
    <r>
      <rPr>
        <sz val="11"/>
        <color rgb="FF000000"/>
        <rFont val="Calibri"/>
      </rPr>
      <t>If the virtual machine advanced setting ethernet*.filter*.name exists and dvfilters are not in use, this is a finding.</t>
    </r>
    <r>
      <rPr>
        <sz val="11"/>
        <color rgb="FF000000"/>
        <rFont val="Calibri"/>
      </rPr>
      <t xml:space="preserve">
</t>
    </r>
    <r>
      <rPr>
        <sz val="11"/>
        <color rgb="FF000000"/>
        <rFont val="Calibri"/>
      </rPr>
      <t>If the virtual machine advanced setting ethernet*.filter*.name exists and the value is not valid, this is a finding.</t>
    </r>
  </si>
  <si>
    <t>V-237099</t>
  </si>
  <si>
    <r>
      <rPr>
        <sz val="11"/>
        <rFont val="Calibri"/>
      </rPr>
      <t>System administrators must use templates to deploy virtual machines whenever possible.</t>
    </r>
  </si>
  <si>
    <r>
      <rPr>
        <sz val="11"/>
        <color rgb="FF000000"/>
        <rFont val="Calibri"/>
      </rPr>
      <t>Create hardened virtual machine templates to use for OS deployments.</t>
    </r>
  </si>
  <si>
    <r>
      <rPr>
        <sz val="11"/>
        <color rgb="FF000000"/>
        <rFont val="Calibri"/>
      </rPr>
      <t>By capturing a hardened base operating system image (with no applications installed) in a template, ensure all virtual machines are created with a known baseline level of security. Then use this template to create other, application-specific templates, or use the application template to deploy virtual machines. Manual installation of the OS and applications into a VM introduces the risk of misconfiguration due to human or process error.</t>
    </r>
  </si>
  <si>
    <r>
      <rPr>
        <sz val="11"/>
        <color rgb="FF000000"/>
        <rFont val="Calibri"/>
      </rPr>
      <t>Ask the SA if hardened, patched templates are used for VM creation, properly configured OS deployments, including applications both dependent and non-dependent on VM-specific configurations.</t>
    </r>
    <r>
      <rPr>
        <sz val="11"/>
        <color rgb="FF000000"/>
        <rFont val="Calibri"/>
      </rPr>
      <t xml:space="preserve">
</t>
    </r>
    <r>
      <rPr>
        <sz val="11"/>
        <color rgb="FF000000"/>
        <rFont val="Calibri"/>
      </rPr>
      <t>If hardened, patched templates are not used for VM creation, this is a finding.</t>
    </r>
  </si>
  <si>
    <t>V-237100</t>
  </si>
  <si>
    <r>
      <rPr>
        <sz val="11"/>
        <rFont val="Calibri"/>
      </rPr>
      <t>Use of the virtual machine console must be minimized.</t>
    </r>
  </si>
  <si>
    <r>
      <rPr>
        <sz val="11"/>
        <color rgb="FF000000"/>
        <rFont val="Calibri"/>
      </rPr>
      <t>Develop a policy prohibiting the use of a VM console for performing management services. This policy should include procedures for the use of SSH and Terminal Management services for VM management. Where SSH and Terminal Management services prove insufficient to troubleshoot a VM, access to the VM console may be temporarily granted.</t>
    </r>
  </si>
  <si>
    <r>
      <rPr>
        <sz val="11"/>
        <color rgb="FF000000"/>
        <rFont val="Calibri"/>
      </rPr>
      <t>The VM console enables a connection to the console of a virtual machine, in effect seeing what a monitor on a physical server would show. The VM console also provides power management and removable device connectivity controls, which might potentially allow a malicious user to bring down a virtual machine. In addition, it also has a performance impact on the service console, especially if many VM console sessions are open simultaneously.</t>
    </r>
  </si>
  <si>
    <r>
      <rPr>
        <sz val="11"/>
        <color rgb="FF000000"/>
        <rFont val="Calibri"/>
      </rPr>
      <t>Remote management services, such as terminal services and SSH, must be used to interact with virtual machines. VM console access should only be granted when remote management services are unavailable or insufficient to perform necessary management tasks.</t>
    </r>
    <r>
      <rPr>
        <sz val="11"/>
        <color rgb="FF000000"/>
        <rFont val="Calibri"/>
      </rPr>
      <t xml:space="preserve">
</t>
    </r>
    <r>
      <rPr>
        <sz val="11"/>
        <color rgb="FF000000"/>
        <rFont val="Calibri"/>
      </rPr>
      <t xml:space="preserve">Ask the SA if a VM console is used to perform VM management tasks, other than for troubleshooting VM issues. </t>
    </r>
    <r>
      <rPr>
        <sz val="11"/>
        <color rgb="FF000000"/>
        <rFont val="Calibri"/>
      </rPr>
      <t xml:space="preserve">
</t>
    </r>
    <r>
      <rPr>
        <sz val="11"/>
        <color rgb="FF000000"/>
        <rFont val="Calibri"/>
      </rPr>
      <t xml:space="preserve">If a VM console is used to perform VM management tasks, other than for troubleshooting VM issues, this is a finding. </t>
    </r>
    <r>
      <rPr>
        <sz val="11"/>
        <color rgb="FF000000"/>
        <rFont val="Calibri"/>
      </rPr>
      <t xml:space="preserve">
</t>
    </r>
    <r>
      <rPr>
        <sz val="11"/>
        <color rgb="FF000000"/>
        <rFont val="Calibri"/>
      </rPr>
      <t>If SSH and/or terminal management services are exclusively used to perform management tasks, this is not a finding.</t>
    </r>
  </si>
  <si>
    <t>V-237101</t>
  </si>
  <si>
    <r>
      <rPr>
        <sz val="11"/>
        <rFont val="Calibri"/>
      </rPr>
      <t>The virtual machine guest operating system must be locked when the last console connection is closed.</t>
    </r>
  </si>
  <si>
    <r>
      <rPr>
        <sz val="11"/>
        <color rgb="FF000000"/>
        <rFont val="Calibri"/>
      </rPr>
      <t>From the vSphere Client select the Virtual Machine, right click and go to Edit Settings &gt;&gt; VM Options Tab &gt;&gt; Advanced &gt;&gt; Configuration Parameters &gt;&gt; Edit Configuration. Find or create the "tools.guest.desktop.autolock" value and set it to "true".</t>
    </r>
    <r>
      <rPr>
        <sz val="11"/>
        <color rgb="FF000000"/>
        <rFont val="Calibri"/>
      </rPr>
      <t xml:space="preserve">
</t>
    </r>
    <r>
      <rPr>
        <sz val="11"/>
        <color rgb="FF000000"/>
        <rFont val="Calibri"/>
      </rPr>
      <t>Note: The VM must be powered off to modify the advanced settings through the vSphere Web Client. It is recommended to configure these settings with PowerCLI as this can be done while the VM is powered on. In this case the modified settings will not take effect until a cold boot of the VM.</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tools.guest.desktop.autolock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tools.guest.desktop.autolock | Set-AdvancedSetting -Value true</t>
    </r>
  </si>
  <si>
    <r>
      <rPr>
        <sz val="11"/>
        <color rgb="FF000000"/>
        <rFont val="Calibri"/>
      </rPr>
      <t>When accessing the VM console the guest OS must be locked when the last console user disconnects, limiting the possibility of session hijacking. This setting only applies to Windows-based VMs with VMware tools installed.</t>
    </r>
  </si>
  <si>
    <r>
      <rPr>
        <sz val="11"/>
        <color rgb="FF000000"/>
        <rFont val="Calibri"/>
      </rPr>
      <t>From the vSphere Web Client select the Virtual Machine, right click and go to Edit Settings &gt;&gt; VM Options Tab &gt;&gt; Advanced &gt;&gt; Configuration Parameters &gt;&gt; Edit Configuration. Find the "tools.guest.desktop.autolock" value and verify that it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tools.guest.desktop.autolock</t>
    </r>
    <r>
      <rPr>
        <sz val="11"/>
        <color rgb="FF000000"/>
        <rFont val="Calibri"/>
      </rPr>
      <t xml:space="preserve">
</t>
    </r>
    <r>
      <rPr>
        <sz val="11"/>
        <color rgb="FF000000"/>
        <rFont val="Calibri"/>
      </rPr>
      <t>If the virtual machine advanced setting "tools.guest.desktop.autolock" does not exist or is not set to "true", this is a finding.</t>
    </r>
    <r>
      <rPr>
        <sz val="11"/>
        <color rgb="FF000000"/>
        <rFont val="Calibri"/>
      </rPr>
      <t xml:space="preserve">
</t>
    </r>
    <r>
      <rPr>
        <sz val="11"/>
        <color rgb="FF000000"/>
        <rFont val="Calibri"/>
      </rPr>
      <t>If the VM is not Windows-based, this is not a finding.</t>
    </r>
  </si>
  <si>
    <t>V-237102</t>
  </si>
  <si>
    <r>
      <rPr>
        <sz val="11"/>
        <rFont val="Calibri"/>
      </rPr>
      <t>3D features on the virtual machine must be disabled when not required.</t>
    </r>
  </si>
  <si>
    <r>
      <rPr>
        <sz val="11"/>
        <color rgb="FF000000"/>
        <rFont val="Calibri"/>
      </rPr>
      <t>From the vSphere Client select the Virtual Machine, right click and go to Edit Settings &gt;&gt; VM Options Tab &gt;&gt; Advanced &gt;&gt; Configuration Parameters &gt;&gt; Edit Configuration. Find the "mks.enable3d" value and set it to "false".</t>
    </r>
    <r>
      <rPr>
        <sz val="11"/>
        <color rgb="FF000000"/>
        <rFont val="Calibri"/>
      </rPr>
      <t xml:space="preserve">
</t>
    </r>
    <r>
      <rPr>
        <sz val="11"/>
        <color rgb="FF000000"/>
        <rFont val="Calibri"/>
      </rPr>
      <t>Note: The VM must be powered off to modify the advanced settings through the vSphere Web Client. It is recommended to configure these settings with PowerCLI as this can be done while the VM is powered on. In this case the modified settings will not take effect until a cold boot of the VM.</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mks.enable3d -Value false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mks.enable3d | Set-AdvancedSetting -Value false</t>
    </r>
  </si>
  <si>
    <r>
      <rPr>
        <sz val="11"/>
        <color rgb="FF000000"/>
        <rFont val="Calibri"/>
      </rPr>
      <t>It is recommended that 3D acceleration be disabled on virtual machines that do not require 3D functionality, (e.g. most server workloads or desktops not using 3D applications).</t>
    </r>
  </si>
  <si>
    <r>
      <rPr>
        <sz val="11"/>
        <color rgb="FF000000"/>
        <rFont val="Calibri"/>
      </rPr>
      <t>From the vSphere Web Client select the Virtual Machine, right click and go to Edit Settings &gt;&gt; VM Options Tab &gt;&gt; Advanced &gt;&gt; Configuration Parameters &gt;&gt; Edit Configuration. Find the "mks.enable3d" value and verify it is set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mks.enable3d</t>
    </r>
    <r>
      <rPr>
        <sz val="11"/>
        <color rgb="FF000000"/>
        <rFont val="Calibri"/>
      </rPr>
      <t xml:space="preserve">
</t>
    </r>
    <r>
      <rPr>
        <sz val="11"/>
        <color rgb="FF000000"/>
        <rFont val="Calibri"/>
      </rPr>
      <t>If the virtual machine advanced setting "mks.enable3d" does not exist or is not set to "false", this is a finding.</t>
    </r>
    <r>
      <rPr>
        <sz val="11"/>
        <color rgb="FF000000"/>
        <rFont val="Calibri"/>
      </rPr>
      <t xml:space="preserve">
</t>
    </r>
    <r>
      <rPr>
        <sz val="11"/>
        <color rgb="FF000000"/>
        <rFont val="Calibri"/>
      </rPr>
      <t>If a virtual machine requires 3D features, this is not a finding.</t>
    </r>
  </si>
  <si>
    <t>V-237103</t>
  </si>
  <si>
    <r>
      <rPr>
        <sz val="11"/>
        <rFont val="Calibri"/>
      </rPr>
      <t>Encryption must be enabled for vMotion on the virtual machine.</t>
    </r>
  </si>
  <si>
    <r>
      <rPr>
        <sz val="11"/>
        <color rgb="FF000000"/>
        <rFont val="Calibri"/>
      </rPr>
      <t>From the vSphere Client select the Virtual Machine, right click and go to Edit Settings &gt;&gt; VM Options Tab &gt;&gt; Encryption &gt;&gt; Encrypted vMotion. Set the value to "Opportunistic" or "Required".</t>
    </r>
  </si>
  <si>
    <r>
      <rPr>
        <sz val="11"/>
        <color rgb="FF000000"/>
        <rFont val="Calibri"/>
      </rPr>
      <t>vMotion migrations in vSphere 6.0 and earlier transferred working memory and CPU state information in clear text over the vMotion network. As of vSphere 6.5 this transfer can be transparently encrypted using 256bit AES-GCM with negligible performance impact. vSphere 6.5 enables encrypted vMotion by default as 'Opportunistic', meaning that encrypted channels are used where supported but the operation will continue in plain text where encryption is not supported. For example when vMotioning between two 6.5 hosts encryption will always be utilized but since 6.0 and earlier releases do not support this feature vMotion from a 6.5 host to a 6.0 host would be allowed but would not be encrypted. If this finding is set to 'Required' then vMotions to unsupported hosts will fail. This setting must be set to 'Opportunistic' or 'Required'.</t>
    </r>
  </si>
  <si>
    <r>
      <rPr>
        <sz val="11"/>
        <color rgb="FF000000"/>
        <rFont val="Calibri"/>
      </rPr>
      <t>Note: If the system does not have vCenter installed and utilizes vMotion, then this is Not Applicable.</t>
    </r>
    <r>
      <rPr>
        <sz val="11"/>
        <color rgb="FF000000"/>
        <rFont val="Calibri"/>
      </rPr>
      <t xml:space="preserve">
</t>
    </r>
    <r>
      <rPr>
        <sz val="11"/>
        <color rgb="FF000000"/>
        <rFont val="Calibri"/>
      </rPr>
      <t>From the vSphere Web Client, select the Virtual Machine, right-click and go to Edit Settings &gt;&gt; VM Options Tab &gt;&gt; Encryption &gt;&gt; Encrypted vMotion.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{($_.ExtensionData.Config.MigrateEncryption -ne "opportunistic") -and ($_.ExtensionData.Config.MigrateEncryption -ne "required")}</t>
    </r>
    <r>
      <rPr>
        <sz val="11"/>
        <color rgb="FF000000"/>
        <rFont val="Calibri"/>
      </rPr>
      <t xml:space="preserve">
</t>
    </r>
    <r>
      <rPr>
        <sz val="11"/>
        <color rgb="FF000000"/>
        <rFont val="Calibri"/>
      </rPr>
      <t>If the setting does not have a value of "Opportunistic" or "Required", this is a finding.</t>
    </r>
  </si>
  <si>
    <t>V-251043</t>
  </si>
  <si>
    <r>
      <rPr>
        <sz val="11"/>
        <rFont val="Calibri"/>
      </rPr>
      <t>The ESXi host must protect the confidentiality and integrity of transmitted information.</t>
    </r>
  </si>
  <si>
    <r>
      <rPr>
        <sz val="11"/>
        <color rgb="FF000000"/>
        <rFont val="Calibri"/>
      </rPr>
      <t>From the vSphere Web Client, select the ESXi Host and go to Configure &gt;&gt; Networking &gt;&gt; VMkernel adapters &gt;&gt; Select a VMkernel Adapter &gt;&gt; Click Edit settings &gt;&gt; Uncheck any additional services that have been enabled on the VMkernel adapter so that there is only one service left checked.</t>
    </r>
  </si>
  <si>
    <r>
      <rPr>
        <sz val="11"/>
        <color rgb="FF000000"/>
        <rFont val="Calibri"/>
      </rPr>
      <t xml:space="preserve">Without protection of the transmitted information, confidentiality and integrity may be compromised as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VMM components from which information can be transmitted (e.g., guest VMs,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</si>
  <si>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From the vSphere Web Client, select the ESXi Host and go to Manage &gt;&gt; Networking &gt;&gt; VMkernel adapters. Review each VMkernel adapter that is defined and ensure it is enabled for only one type of management traffic.</t>
    </r>
    <r>
      <rPr>
        <sz val="11"/>
        <color rgb="FF000000"/>
        <rFont val="Calibri"/>
      </rPr>
      <t xml:space="preserve">
</t>
    </r>
    <r>
      <rPr>
        <sz val="11"/>
        <color rgb="FF000000"/>
        <rFont val="Calibri"/>
      </rPr>
      <t>If any VMkernel is used for more than one type of management traffic,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</si>
  <si>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</si>
  <si>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</si>
  <si>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</si>
  <si>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</si>
  <si>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</si>
  <si>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</si>
  <si>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</si>
  <si>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</si>
  <si>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</si>
  <si>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</si>
  <si>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</si>
  <si>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</si>
  <si>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</si>
  <si>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</si>
  <si>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</si>
  <si>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</si>
  <si>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</si>
  <si>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</si>
  <si>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</si>
  <si>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</si>
  <si>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</si>
  <si>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</si>
  <si>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</si>
  <si>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</si>
  <si>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</si>
  <si>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</si>
  <si>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</si>
  <si>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</si>
  <si>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</si>
  <si>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Security Technical Implementation Guide Y21M10</t>
  </si>
  <si>
    <t>Developed By:</t>
  </si>
  <si>
    <t>VMware and Defense Information Systems Agency (DISA) for the US DoD</t>
  </si>
  <si>
    <t>Release Information:</t>
  </si>
  <si>
    <r>
      <rPr>
        <b/>
        <sz val="11"/>
        <color rgb="FF000000"/>
        <rFont val="Calibri"/>
      </rPr>
      <t>Version:</t>
    </r>
    <r>
      <rPr>
        <sz val="11"/>
        <color rgb="FF000000"/>
        <rFont val="Calibri"/>
      </rPr>
      <t xml:space="preserve"> Y21M10    </t>
    </r>
    <r>
      <rPr>
        <b/>
        <sz val="11"/>
        <color rgb="FF000000"/>
        <rFont val="Calibri"/>
      </rPr>
      <t>Date:</t>
    </r>
    <r>
      <rPr>
        <sz val="11"/>
        <color rgb="FF000000"/>
        <rFont val="Calibri"/>
      </rPr>
      <t xml:space="preserve"> 27 October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177</t>
    </r>
  </si>
  <si>
    <t>Download Url:</t>
  </si>
  <si>
    <t>https://www.cyber.mil/stigs</t>
  </si>
  <si>
    <t>Guide Overview:</t>
  </si>
  <si>
    <r>
      <rPr>
        <sz val="11"/>
        <color rgb="FF000000"/>
        <rFont val="Calibri"/>
      </rPr>
      <t>The VMware vSphere 6.5 Security Technical Implementation Guides (STIGs) provide security policy and configuration requirements for the use of vSphere 6.5 in the Department of Defense (DoD). The following comprise the VMware vSphere 6.5 STIGs: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6.5 ESXi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6.5 Virtual Machine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6.5 vCenter Server for Windows STIG</t>
    </r>
    <r>
      <rPr>
        <sz val="11"/>
        <color rgb="FF000000"/>
        <rFont val="Calibri"/>
      </rPr>
      <t xml:space="preserve">
</t>
    </r>
    <r>
      <rPr>
        <sz val="11"/>
        <color rgb="FF000000"/>
        <rFont val="Calibri"/>
      </rPr>
      <t>The VMware vSphere 6.5 STIGs presume operation in an environment compliant with all applicable DoD guidance.</t>
    </r>
  </si>
  <si>
    <t>Components:</t>
  </si>
  <si>
    <r>
      <rPr>
        <i/>
        <sz val="11"/>
        <color rgb="FF000000"/>
        <rFont val="Calibri"/>
      </rPr>
      <t>Title:</t>
    </r>
    <r>
      <rPr>
        <sz val="11"/>
        <color rgb="FF000000"/>
        <rFont val="Calibri"/>
      </rPr>
      <t xml:space="preserve"> VMware vSphere 6.5 ESXi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27 October 2021     </t>
    </r>
    <r>
      <rPr>
        <i/>
        <sz val="11"/>
        <color rgb="FF000000"/>
        <rFont val="Calibri"/>
      </rPr>
      <t>Recommendation Count:</t>
    </r>
    <r>
      <rPr>
        <sz val="11"/>
        <color rgb="FF000000"/>
        <rFont val="Calibri"/>
      </rPr>
      <t xml:space="preserve"> 73</t>
    </r>
  </si>
  <si>
    <r>
      <rPr>
        <i/>
        <sz val="11"/>
        <color rgb="FF000000"/>
        <rFont val="Calibri"/>
      </rPr>
      <t>Title:</t>
    </r>
    <r>
      <rPr>
        <sz val="11"/>
        <color rgb="FF000000"/>
        <rFont val="Calibri"/>
      </rPr>
      <t xml:space="preserve"> VMW vSphere 6.5 vCenter Server for Windows Security Technical Implementation Guide</t>
    </r>
    <r>
      <rPr>
        <sz val="11"/>
        <color rgb="FF000000"/>
        <rFont val="Calibri"/>
      </rPr>
      <t xml:space="preserve">
</t>
    </r>
    <r>
      <rPr>
        <i/>
        <sz val="11"/>
        <color rgb="FF000000"/>
        <rFont val="Calibri"/>
      </rPr>
      <t>Version:</t>
    </r>
    <r>
      <rPr>
        <sz val="11"/>
        <color rgb="FF000000"/>
        <rFont val="Calibri"/>
      </rPr>
      <t xml:space="preserve"> V2R2     </t>
    </r>
    <r>
      <rPr>
        <i/>
        <sz val="11"/>
        <color rgb="FF000000"/>
        <rFont val="Calibri"/>
      </rPr>
      <t>Date:</t>
    </r>
    <r>
      <rPr>
        <sz val="11"/>
        <color rgb="FF000000"/>
        <rFont val="Calibri"/>
      </rPr>
      <t xml:space="preserve"> 23 July 2021     </t>
    </r>
    <r>
      <rPr>
        <i/>
        <sz val="11"/>
        <color rgb="FF000000"/>
        <rFont val="Calibri"/>
      </rPr>
      <t>Recommendation Count:</t>
    </r>
    <r>
      <rPr>
        <sz val="11"/>
        <color rgb="FF000000"/>
        <rFont val="Calibri"/>
      </rPr>
      <t xml:space="preserve"> 65</t>
    </r>
  </si>
  <si>
    <r>
      <rPr>
        <i/>
        <sz val="11"/>
        <color rgb="FF000000"/>
        <rFont val="Calibri"/>
      </rPr>
      <t>Title:</t>
    </r>
    <r>
      <rPr>
        <sz val="11"/>
        <color rgb="FF000000"/>
        <rFont val="Calibri"/>
      </rPr>
      <t xml:space="preserve"> VMware vSphere 6.5 Virtual Machine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27 October 2021     </t>
    </r>
    <r>
      <rPr>
        <i/>
        <sz val="11"/>
        <color rgb="FF000000"/>
        <rFont val="Calibri"/>
      </rPr>
      <t>Recommendation Count:</t>
    </r>
    <r>
      <rPr>
        <sz val="11"/>
        <color rgb="FF000000"/>
        <rFont val="Calibri"/>
      </rPr>
      <t xml:space="preserve"> 39</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</si>
  <si>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</si>
  <si>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</si>
  <si>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</si>
  <si>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</si>
  <si>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</si>
  <si>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</si>
  <si>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</si>
  <si>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</si>
  <si>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</si>
  <si>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</si>
  <si>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</si>
  <si>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</si>
  <si>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</si>
  <si>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</si>
  <si>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</si>
  <si>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</si>
  <si>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</si>
  <si>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</si>
  <si>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</si>
  <si>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</si>
  <si>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</si>
  <si>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</si>
  <si>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</si>
  <si>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</si>
  <si>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</si>
  <si>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</si>
  <si>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</si>
  <si>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</si>
  <si>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</si>
  <si>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</si>
  <si>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</si>
  <si>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</si>
  <si>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</si>
  <si>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</si>
  <si>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</si>
  <si>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</si>
  <si>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</si>
  <si>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</si>
  <si>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</si>
  <si>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</si>
  <si>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</si>
  <si>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</si>
  <si>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</si>
  <si>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</si>
  <si>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</si>
  <si>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</si>
  <si>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</si>
  <si>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Security Technical Implementation Guide Y21M10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</si>
  <si>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</si>
  <si>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</si>
  <si>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</si>
  <si>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</si>
  <si>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</si>
  <si>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</si>
  <si>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</si>
  <si>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</si>
  <si>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</si>
  <si>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</si>
  <si>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</si>
  <si>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</si>
  <si>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</si>
  <si>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</si>
  <si>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</si>
  <si>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</si>
  <si>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</si>
  <si>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</si>
  <si>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</si>
  <si>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</si>
  <si>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</si>
  <si>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</si>
  <si>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</si>
  <si>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</si>
  <si>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</si>
  <si>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</si>
  <si>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</si>
  <si>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</si>
  <si>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</si>
  <si>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</si>
  <si>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</si>
  <si>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</si>
  <si>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</si>
  <si>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</si>
  <si>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</si>
  <si>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</si>
  <si>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</si>
  <si>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</si>
  <si>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</si>
  <si>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</si>
  <si>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</si>
  <si>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</si>
  <si>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</si>
  <si>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</si>
  <si>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</si>
  <si>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</si>
  <si>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</si>
  <si>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(C86)</t>
  </si>
  <si>
    <t>% Must</t>
  </si>
  <si>
    <t>Should Count (C87)</t>
  </si>
  <si>
    <t>% Should</t>
  </si>
  <si>
    <t>Could Count (C88)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</si>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</sst>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E86-4C9E-AEBC-5F2DDB6254F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E86-4C9E-AEBC-5F2DDB6254F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177</c:v>
                </c:pt>
              </c:numCache>
            </c:numRef>
          </c:val>
          <c:extLst>
            <c:ext xmlns:c16="http://schemas.microsoft.com/office/drawing/2014/chart" uri="{C3380CC4-5D6E-409C-BE32-E72D297353CC}">
              <c16:uniqueId val="{00000002-8E86-4C9E-AEBC-5F2DDB6254F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VMW vSphere 6.5 vCenter Server for Windows</c:v>
                </c:pt>
                <c:pt idx="1">
                  <c:v>VMware vSphere 6.5 ESXi</c:v>
                </c:pt>
                <c:pt idx="2">
                  <c:v>VMware vSphere 6.5 Virtual Machine</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4B75-41B0-97B7-F8003A7C5EB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VMW vSphere 6.5 vCenter Server for Windows</c:v>
                </c:pt>
                <c:pt idx="1">
                  <c:v>VMware vSphere 6.5 ESXi</c:v>
                </c:pt>
                <c:pt idx="2">
                  <c:v>VMware vSphere 6.5 Virtual Machine</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4B75-41B0-97B7-F8003A7C5EB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VMW vSphere 6.5 vCenter Server for Windows</c:v>
                </c:pt>
                <c:pt idx="1">
                  <c:v>VMware vSphere 6.5 ESXi</c:v>
                </c:pt>
                <c:pt idx="2">
                  <c:v>VMware vSphere 6.5 Virtual Machine</c:v>
                </c:pt>
              </c:strCache>
            </c:strRef>
          </c:cat>
          <c:val>
            <c:numRef>
              <c:f>Dashboard!$E$29:$E$31</c:f>
              <c:numCache>
                <c:formatCode>General</c:formatCode>
                <c:ptCount val="3"/>
                <c:pt idx="0">
                  <c:v>65</c:v>
                </c:pt>
                <c:pt idx="1">
                  <c:v>73</c:v>
                </c:pt>
                <c:pt idx="2">
                  <c:v>39</c:v>
                </c:pt>
              </c:numCache>
            </c:numRef>
          </c:val>
          <c:extLst>
            <c:ext xmlns:c16="http://schemas.microsoft.com/office/drawing/2014/chart" uri="{C3380CC4-5D6E-409C-BE32-E72D297353CC}">
              <c16:uniqueId val="{00000002-4B75-41B0-97B7-F8003A7C5EB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90B-470C-A4C5-B0D9382480C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90B-470C-A4C5-B0D9382480C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177</c:v>
                </c:pt>
              </c:numCache>
            </c:numRef>
          </c:val>
          <c:extLst>
            <c:ext xmlns:c16="http://schemas.microsoft.com/office/drawing/2014/chart" uri="{C3380CC4-5D6E-409C-BE32-E72D297353CC}">
              <c16:uniqueId val="{00000002-B90B-470C-A4C5-B0D9382480C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Dashboard!$C$69:$C$71</c:f>
              <c:numCache>
                <c:formatCode>General</c:formatCode>
                <c:ptCount val="3"/>
                <c:pt idx="0">
                  <c:v>0</c:v>
                </c:pt>
                <c:pt idx="1">
                  <c:v>0</c:v>
                </c:pt>
                <c:pt idx="2">
                  <c:v>0</c:v>
                </c:pt>
              </c:numCache>
            </c:numRef>
          </c:val>
          <c:extLst>
            <c:ext xmlns:c16="http://schemas.microsoft.com/office/drawing/2014/chart" uri="{C3380CC4-5D6E-409C-BE32-E72D297353CC}">
              <c16:uniqueId val="{00000000-4E9A-4CEF-BCB8-61616EC4366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Dashboard!$D$69:$D$71</c:f>
              <c:numCache>
                <c:formatCode>General</c:formatCode>
                <c:ptCount val="3"/>
                <c:pt idx="0">
                  <c:v>0</c:v>
                </c:pt>
                <c:pt idx="1">
                  <c:v>0</c:v>
                </c:pt>
                <c:pt idx="2">
                  <c:v>0</c:v>
                </c:pt>
              </c:numCache>
            </c:numRef>
          </c:val>
          <c:extLst>
            <c:ext xmlns:c16="http://schemas.microsoft.com/office/drawing/2014/chart" uri="{C3380CC4-5D6E-409C-BE32-E72D297353CC}">
              <c16:uniqueId val="{00000001-4E9A-4CEF-BCB8-61616EC4366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Dashboard!$E$69:$E$71</c:f>
              <c:numCache>
                <c:formatCode>General</c:formatCode>
                <c:ptCount val="3"/>
                <c:pt idx="0">
                  <c:v>8</c:v>
                </c:pt>
                <c:pt idx="1">
                  <c:v>115</c:v>
                </c:pt>
                <c:pt idx="2">
                  <c:v>54</c:v>
                </c:pt>
              </c:numCache>
            </c:numRef>
          </c:val>
          <c:extLst>
            <c:ext xmlns:c16="http://schemas.microsoft.com/office/drawing/2014/chart" uri="{C3380CC4-5D6E-409C-BE32-E72D297353CC}">
              <c16:uniqueId val="{00000002-4E9A-4CEF-BCB8-61616EC4366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Dashboard!$C$86:$C$90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9CC-4B38-9F2D-DC1D9E91158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Dashboard!$D$86:$D$90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9CC-4B38-9F2D-DC1D9E91158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Dashboard!$E$86:$E$90</c:f>
              <c:numCache>
                <c:formatCode>General</c:formatCode>
                <c:ptCount val="5"/>
                <c:pt idx="0">
                  <c:v>0</c:v>
                </c:pt>
                <c:pt idx="1">
                  <c:v>0</c:v>
                </c:pt>
                <c:pt idx="2">
                  <c:v>0</c:v>
                </c:pt>
                <c:pt idx="3">
                  <c:v>0</c:v>
                </c:pt>
                <c:pt idx="4">
                  <c:v>177</c:v>
                </c:pt>
              </c:numCache>
            </c:numRef>
          </c:val>
          <c:extLst>
            <c:ext xmlns:c16="http://schemas.microsoft.com/office/drawing/2014/chart" uri="{C3380CC4-5D6E-409C-BE32-E72D297353CC}">
              <c16:uniqueId val="{00000002-69CC-4B38-9F2D-DC1D9E91158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Dashboard!$C$107:$C$110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45B-4763-AC19-1AB04D60407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Dashboard!$D$107:$D$110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45B-4763-AC19-1AB04D60407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Dashboard!$E$107:$E$110</c:f>
              <c:numCache>
                <c:formatCode>General</c:formatCode>
                <c:ptCount val="4"/>
                <c:pt idx="0">
                  <c:v>0</c:v>
                </c:pt>
                <c:pt idx="1">
                  <c:v>0</c:v>
                </c:pt>
                <c:pt idx="2">
                  <c:v>0</c:v>
                </c:pt>
                <c:pt idx="3">
                  <c:v>177</c:v>
                </c:pt>
              </c:numCache>
            </c:numRef>
          </c:val>
          <c:extLst>
            <c:ext xmlns:c16="http://schemas.microsoft.com/office/drawing/2014/chart" uri="{C3380CC4-5D6E-409C-BE32-E72D297353CC}">
              <c16:uniqueId val="{00000002-E45B-4763-AC19-1AB04D60407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Dashboard!$P$143:$P$172</c:f>
              <c:numCache>
                <c:formatCode>yyyy\-mm\-dd</c:formatCode>
                <c:ptCount val="30"/>
              </c:numCache>
            </c:numRef>
          </c:cat>
          <c:val>
            <c:numRef>
              <c:f>Dashboard!$R$143:$R$172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594-4D78-8692-47ABE7F16AB1}"/>
            </c:ext>
          </c:extLst>
        </c:ser>
        <c:ser>
          <c:idx val="1"/>
          <c:order val="1"/>
          <c:tx>
            <c:v>Must % Resolved</c:v>
          </c:tx>
          <c:spPr>
            <a:ln w="22225" cap="rnd">
              <a:solidFill>
                <a:schemeClr val="accent2"/>
              </a:solidFill>
              <a:round/>
            </a:ln>
            <a:effectLst/>
          </c:spPr>
          <c:marker>
            <c:symbol val="none"/>
          </c:marker>
          <c:cat>
            <c:numRef>
              <c:f>Dashboard!$P$143:$P$172</c:f>
              <c:numCache>
                <c:formatCode>yyyy\-mm\-dd</c:formatCode>
                <c:ptCount val="30"/>
              </c:numCache>
            </c:numRef>
          </c:cat>
          <c:val>
            <c:numRef>
              <c:f>Dashboard!$T$143:$T$172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594-4D78-8692-47ABE7F16AB1}"/>
            </c:ext>
          </c:extLst>
        </c:ser>
        <c:ser>
          <c:idx val="2"/>
          <c:order val="2"/>
          <c:tx>
            <c:v>Should % Resolved</c:v>
          </c:tx>
          <c:spPr>
            <a:ln w="22225" cap="rnd">
              <a:solidFill>
                <a:schemeClr val="accent3"/>
              </a:solidFill>
              <a:round/>
            </a:ln>
            <a:effectLst/>
          </c:spPr>
          <c:marker>
            <c:symbol val="none"/>
          </c:marker>
          <c:cat>
            <c:numRef>
              <c:f>Dashboard!$P$143:$P$172</c:f>
              <c:numCache>
                <c:formatCode>yyyy\-mm\-dd</c:formatCode>
                <c:ptCount val="30"/>
              </c:numCache>
            </c:numRef>
          </c:cat>
          <c:val>
            <c:numRef>
              <c:f>Dashboard!$V$143:$V$172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594-4D78-8692-47ABE7F16AB1}"/>
            </c:ext>
          </c:extLst>
        </c:ser>
        <c:ser>
          <c:idx val="3"/>
          <c:order val="3"/>
          <c:tx>
            <c:v>Could % Resolved</c:v>
          </c:tx>
          <c:spPr>
            <a:ln w="22225" cap="rnd">
              <a:solidFill>
                <a:schemeClr val="accent4"/>
              </a:solidFill>
              <a:round/>
            </a:ln>
            <a:effectLst/>
          </c:spPr>
          <c:marker>
            <c:symbol val="none"/>
          </c:marker>
          <c:cat>
            <c:numRef>
              <c:f>Dashboard!$P$143:$P$172</c:f>
              <c:numCache>
                <c:formatCode>yyyy\-mm\-dd</c:formatCode>
                <c:ptCount val="30"/>
              </c:numCache>
            </c:numRef>
          </c:cat>
          <c:val>
            <c:numRef>
              <c:f>Dashboard!$X$143:$X$172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594-4D78-8692-47ABE7F16AB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Dashboard!$P$185:$P$204</c:f>
              <c:numCache>
                <c:formatCode>yyyy\-mm\-dd</c:formatCode>
                <c:ptCount val="20"/>
              </c:numCache>
            </c:numRef>
          </c:cat>
          <c:val>
            <c:numRef>
              <c:f>Dashboard!$R$185:$R$204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366-42FB-BB00-E699BFA996B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cgcb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jqapl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41irx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2v2lj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98</xdr:row>
      <xdr:rowOff>0</xdr:rowOff>
    </xdr:to>
    <xdr:graphicFrame macro="">
      <xdr:nvGraphicFramePr>
        <xdr:cNvPr id="6" name="Chartuj3pb2">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101</xdr:row>
      <xdr:rowOff>95250</xdr:rowOff>
    </xdr:from>
    <xdr:to>
      <xdr:col>15</xdr:col>
      <xdr:colOff>28575</xdr:colOff>
      <xdr:row>116</xdr:row>
      <xdr:rowOff>142875</xdr:rowOff>
    </xdr:to>
    <xdr:graphicFrame macro="">
      <xdr:nvGraphicFramePr>
        <xdr:cNvPr id="7" name="Chartp3s1ce">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138</xdr:row>
      <xdr:rowOff>95250</xdr:rowOff>
    </xdr:from>
    <xdr:to>
      <xdr:col>14</xdr:col>
      <xdr:colOff>0</xdr:colOff>
      <xdr:row>161</xdr:row>
      <xdr:rowOff>38100</xdr:rowOff>
    </xdr:to>
    <xdr:graphicFrame macro="">
      <xdr:nvGraphicFramePr>
        <xdr:cNvPr id="8" name="Chartiwdiw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179</xdr:row>
      <xdr:rowOff>95250</xdr:rowOff>
    </xdr:from>
    <xdr:to>
      <xdr:col>14</xdr:col>
      <xdr:colOff>0</xdr:colOff>
      <xdr:row>197</xdr:row>
      <xdr:rowOff>123825</xdr:rowOff>
    </xdr:to>
    <xdr:graphicFrame macro="">
      <xdr:nvGraphicFramePr>
        <xdr:cNvPr id="9" name="Chart135v4x">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78">
  <autoFilter ref="A1:N178"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5"/>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866</v>
      </c>
    </row>
    <row r="3" spans="2:3" ht="15" customHeight="1" x14ac:dyDescent="0.35"/>
    <row r="4" spans="2:3" ht="58" x14ac:dyDescent="0.35">
      <c r="B4" s="20" t="s">
        <v>867</v>
      </c>
      <c r="C4" s="21" t="s">
        <v>868</v>
      </c>
    </row>
    <row r="5" spans="2:3" x14ac:dyDescent="0.35">
      <c r="C5" s="21" t="s">
        <v>869</v>
      </c>
    </row>
    <row r="6" spans="2:3" x14ac:dyDescent="0.35">
      <c r="C6" s="18" t="s">
        <v>870</v>
      </c>
    </row>
    <row r="7" spans="2:3" ht="10" customHeight="1" x14ac:dyDescent="0.35"/>
    <row r="8" spans="2:3" ht="232" x14ac:dyDescent="0.35">
      <c r="B8" s="22" t="s">
        <v>871</v>
      </c>
      <c r="C8" s="21" t="s">
        <v>872</v>
      </c>
    </row>
    <row r="9" spans="2:3" ht="10" customHeight="1" x14ac:dyDescent="0.35"/>
    <row r="10" spans="2:3" ht="35" customHeight="1" x14ac:dyDescent="0.35">
      <c r="B10" s="22" t="s">
        <v>873</v>
      </c>
      <c r="C10" s="21" t="s">
        <v>874</v>
      </c>
    </row>
    <row r="11" spans="2:3" ht="75" customHeight="1" x14ac:dyDescent="0.35">
      <c r="B11" s="18" t="s">
        <v>21</v>
      </c>
      <c r="C11" s="21" t="s">
        <v>875</v>
      </c>
    </row>
    <row r="12" spans="2:3" ht="47" customHeight="1" x14ac:dyDescent="0.35">
      <c r="B12" s="18" t="s">
        <v>21</v>
      </c>
      <c r="C12" s="21" t="s">
        <v>876</v>
      </c>
    </row>
    <row r="13" spans="2:3" ht="35" customHeight="1" x14ac:dyDescent="0.35">
      <c r="B13" s="18" t="s">
        <v>21</v>
      </c>
      <c r="C13" s="21" t="s">
        <v>877</v>
      </c>
    </row>
    <row r="14" spans="2:3" ht="32" customHeight="1" x14ac:dyDescent="0.35">
      <c r="B14" s="18" t="s">
        <v>21</v>
      </c>
      <c r="C14" s="21" t="s">
        <v>878</v>
      </c>
    </row>
    <row r="15" spans="2:3" ht="30" customHeight="1" x14ac:dyDescent="0.35">
      <c r="B15" s="18" t="s">
        <v>21</v>
      </c>
      <c r="C15" s="21" t="s">
        <v>879</v>
      </c>
    </row>
    <row r="16" spans="2:3" ht="10" customHeight="1" x14ac:dyDescent="0.35"/>
    <row r="17" spans="1:3" ht="145" customHeight="1" x14ac:dyDescent="0.35">
      <c r="B17" s="22" t="s">
        <v>880</v>
      </c>
      <c r="C17" s="21" t="s">
        <v>881</v>
      </c>
    </row>
    <row r="18" spans="1:3" ht="10" customHeight="1" x14ac:dyDescent="0.35"/>
    <row r="19" spans="1:3" ht="3" customHeight="1" x14ac:dyDescent="0.35">
      <c r="B19" s="23"/>
      <c r="C19" s="23"/>
    </row>
    <row r="20" spans="1:3" ht="12" customHeight="1" x14ac:dyDescent="0.35"/>
    <row r="21" spans="1:3" ht="35" customHeight="1" x14ac:dyDescent="0.35">
      <c r="A21" s="25"/>
      <c r="B21" s="26" t="s">
        <v>882</v>
      </c>
      <c r="C21" s="27" t="s">
        <v>883</v>
      </c>
    </row>
    <row r="22" spans="1:3" ht="18" customHeight="1" x14ac:dyDescent="0.35">
      <c r="A22" s="25"/>
      <c r="B22" s="25" t="s">
        <v>21</v>
      </c>
      <c r="C22" s="27" t="s">
        <v>884</v>
      </c>
    </row>
    <row r="23" spans="1:3" ht="18" customHeight="1" x14ac:dyDescent="0.35">
      <c r="A23" s="25"/>
      <c r="B23" s="25" t="s">
        <v>21</v>
      </c>
      <c r="C23" s="27" t="s">
        <v>885</v>
      </c>
    </row>
    <row r="24" spans="1:3" ht="18" customHeight="1" x14ac:dyDescent="0.35">
      <c r="A24" s="25"/>
      <c r="B24" s="25" t="s">
        <v>21</v>
      </c>
      <c r="C24" s="27" t="s">
        <v>886</v>
      </c>
    </row>
    <row r="25" spans="1:3" ht="18" customHeight="1" x14ac:dyDescent="0.35">
      <c r="A25" s="25"/>
      <c r="B25" s="25" t="s">
        <v>21</v>
      </c>
      <c r="C25" s="27" t="s">
        <v>887</v>
      </c>
    </row>
    <row r="26" spans="1:3" ht="18" customHeight="1" x14ac:dyDescent="0.35">
      <c r="A26" s="25"/>
      <c r="B26" s="25" t="s">
        <v>21</v>
      </c>
      <c r="C26" s="27" t="s">
        <v>888</v>
      </c>
    </row>
    <row r="27" spans="1:3" ht="18" customHeight="1" x14ac:dyDescent="0.35">
      <c r="A27" s="25"/>
      <c r="B27" s="25" t="s">
        <v>21</v>
      </c>
      <c r="C27" s="27" t="s">
        <v>889</v>
      </c>
    </row>
    <row r="28" spans="1:3" ht="18" customHeight="1" x14ac:dyDescent="0.35">
      <c r="A28" s="25"/>
      <c r="B28" s="25" t="s">
        <v>21</v>
      </c>
      <c r="C28" s="27" t="s">
        <v>890</v>
      </c>
    </row>
    <row r="29" spans="1:3" ht="18" customHeight="1" x14ac:dyDescent="0.35">
      <c r="A29" s="25"/>
      <c r="B29" s="25" t="s">
        <v>21</v>
      </c>
      <c r="C29" s="27" t="s">
        <v>891</v>
      </c>
    </row>
    <row r="30" spans="1:3" ht="44" customHeight="1" x14ac:dyDescent="0.35">
      <c r="A30" s="25"/>
      <c r="B30" s="25" t="s">
        <v>21</v>
      </c>
      <c r="C30" s="28" t="s">
        <v>892</v>
      </c>
    </row>
    <row r="31" spans="1:3" ht="10" customHeight="1" x14ac:dyDescent="0.35"/>
    <row r="32" spans="1:3" ht="3" customHeight="1" x14ac:dyDescent="0.35">
      <c r="B32" s="23"/>
      <c r="C32" s="23"/>
    </row>
    <row r="33" spans="2:3" ht="12" customHeight="1" x14ac:dyDescent="0.35"/>
    <row r="34" spans="2:3" ht="24" customHeight="1" x14ac:dyDescent="0.35">
      <c r="B34" s="29" t="s">
        <v>893</v>
      </c>
      <c r="C34" s="30" t="s">
        <v>894</v>
      </c>
    </row>
    <row r="35" spans="2:3" ht="18.5" x14ac:dyDescent="0.35">
      <c r="B35" s="29" t="s">
        <v>895</v>
      </c>
      <c r="C35" s="31" t="s">
        <v>896</v>
      </c>
    </row>
    <row r="36" spans="2:3" ht="27" customHeight="1" x14ac:dyDescent="0.35">
      <c r="B36" s="32" t="s">
        <v>897</v>
      </c>
      <c r="C36" s="24" t="s">
        <v>898</v>
      </c>
    </row>
    <row r="37" spans="2:3" x14ac:dyDescent="0.35">
      <c r="B37" s="29" t="s">
        <v>899</v>
      </c>
      <c r="C37" s="33" t="s">
        <v>900</v>
      </c>
    </row>
    <row r="38" spans="2:3" ht="10" customHeight="1" x14ac:dyDescent="0.35"/>
    <row r="39" spans="2:3" ht="130.5" x14ac:dyDescent="0.35">
      <c r="B39" s="29" t="s">
        <v>901</v>
      </c>
      <c r="C39" s="34" t="s">
        <v>902</v>
      </c>
    </row>
    <row r="40" spans="2:3" ht="10" customHeight="1" x14ac:dyDescent="0.35"/>
    <row r="41" spans="2:3" ht="20" customHeight="1" x14ac:dyDescent="0.35">
      <c r="B41" s="29" t="s">
        <v>903</v>
      </c>
      <c r="C41" s="35" t="s">
        <v>17</v>
      </c>
    </row>
    <row r="42" spans="2:3" ht="29" x14ac:dyDescent="0.35">
      <c r="C42" s="21" t="s">
        <v>904</v>
      </c>
    </row>
    <row r="43" spans="2:3" ht="10" customHeight="1" x14ac:dyDescent="0.35"/>
    <row r="44" spans="2:3" ht="20" customHeight="1" x14ac:dyDescent="0.35">
      <c r="C44" s="35" t="s">
        <v>379</v>
      </c>
    </row>
    <row r="45" spans="2:3" ht="29" x14ac:dyDescent="0.35">
      <c r="C45" s="21" t="s">
        <v>905</v>
      </c>
    </row>
    <row r="46" spans="2:3" ht="10" customHeight="1" x14ac:dyDescent="0.35"/>
    <row r="47" spans="2:3" ht="20" customHeight="1" x14ac:dyDescent="0.35">
      <c r="C47" s="35" t="s">
        <v>686</v>
      </c>
    </row>
    <row r="48" spans="2:3" ht="29" x14ac:dyDescent="0.35">
      <c r="C48" s="21" t="s">
        <v>906</v>
      </c>
    </row>
    <row r="49" spans="2:3" ht="10" customHeight="1" x14ac:dyDescent="0.35"/>
    <row r="50" spans="2:3" ht="43.5" x14ac:dyDescent="0.35">
      <c r="B50" s="29" t="s">
        <v>907</v>
      </c>
      <c r="C50" s="21" t="s">
        <v>908</v>
      </c>
    </row>
    <row r="51" spans="2:3" ht="10" customHeight="1" x14ac:dyDescent="0.35"/>
    <row r="52" spans="2:3" ht="15.5" x14ac:dyDescent="0.35">
      <c r="C52" s="36" t="s">
        <v>70</v>
      </c>
    </row>
    <row r="53" spans="2:3" ht="29" x14ac:dyDescent="0.35">
      <c r="C53" s="21" t="s">
        <v>909</v>
      </c>
    </row>
    <row r="54" spans="2:3" ht="10" customHeight="1" x14ac:dyDescent="0.35"/>
    <row r="55" spans="2:3" ht="15.5" x14ac:dyDescent="0.35">
      <c r="C55" s="37" t="s">
        <v>16</v>
      </c>
    </row>
    <row r="56" spans="2:3" ht="29" x14ac:dyDescent="0.35">
      <c r="C56" s="21" t="s">
        <v>910</v>
      </c>
    </row>
    <row r="57" spans="2:3" ht="10" customHeight="1" x14ac:dyDescent="0.35"/>
    <row r="58" spans="2:3" ht="15.5" x14ac:dyDescent="0.35">
      <c r="C58" s="38" t="s">
        <v>27</v>
      </c>
    </row>
    <row r="59" spans="2:3" ht="29" x14ac:dyDescent="0.35">
      <c r="C59" s="21" t="s">
        <v>911</v>
      </c>
    </row>
    <row r="60" spans="2:3" ht="10" customHeight="1" x14ac:dyDescent="0.35"/>
    <row r="61" spans="2:3" ht="3" customHeight="1" x14ac:dyDescent="0.35">
      <c r="B61" s="23"/>
      <c r="C61" s="23"/>
    </row>
    <row r="62" spans="2:3" ht="12" customHeight="1" x14ac:dyDescent="0.35"/>
    <row r="63" spans="2:3" ht="130.5" x14ac:dyDescent="0.35">
      <c r="B63" s="20" t="s">
        <v>912</v>
      </c>
      <c r="C63" s="21" t="s">
        <v>913</v>
      </c>
    </row>
    <row r="64" spans="2:3" ht="6" customHeight="1" x14ac:dyDescent="0.35"/>
    <row r="65" spans="2:3" ht="217.5" x14ac:dyDescent="0.35">
      <c r="C65" s="21" t="s">
        <v>914</v>
      </c>
    </row>
    <row r="66" spans="2:3" ht="6" customHeight="1" x14ac:dyDescent="0.35"/>
    <row r="67" spans="2:3" ht="43.5" x14ac:dyDescent="0.35">
      <c r="C67" s="21" t="s">
        <v>915</v>
      </c>
    </row>
    <row r="68" spans="2:3" ht="10" customHeight="1" x14ac:dyDescent="0.35"/>
    <row r="69" spans="2:3" ht="3" customHeight="1" x14ac:dyDescent="0.35">
      <c r="B69" s="23"/>
      <c r="C69" s="23"/>
    </row>
    <row r="70" spans="2:3" ht="12" customHeight="1" x14ac:dyDescent="0.35"/>
    <row r="71" spans="2:3" ht="145" x14ac:dyDescent="0.35">
      <c r="B71" s="20" t="s">
        <v>916</v>
      </c>
      <c r="C71" s="21" t="s">
        <v>917</v>
      </c>
    </row>
    <row r="72" spans="2:3" ht="6" customHeight="1" x14ac:dyDescent="0.35"/>
    <row r="73" spans="2:3" ht="203" x14ac:dyDescent="0.35">
      <c r="C73" s="21" t="s">
        <v>918</v>
      </c>
    </row>
    <row r="74" spans="2:3" ht="6" customHeight="1" x14ac:dyDescent="0.35"/>
    <row r="75" spans="2:3" ht="43.5" x14ac:dyDescent="0.35">
      <c r="C75" s="21" t="s">
        <v>919</v>
      </c>
    </row>
    <row r="76" spans="2:3" ht="10" customHeight="1" x14ac:dyDescent="0.35"/>
    <row r="77" spans="2:3" ht="3" customHeight="1" x14ac:dyDescent="0.35">
      <c r="B77" s="23"/>
      <c r="C77" s="23"/>
    </row>
    <row r="78" spans="2:3" ht="12" customHeight="1" x14ac:dyDescent="0.35"/>
    <row r="79" spans="2:3" ht="101.5" x14ac:dyDescent="0.35">
      <c r="B79" s="20" t="s">
        <v>920</v>
      </c>
      <c r="C79" s="21" t="s">
        <v>921</v>
      </c>
    </row>
    <row r="80" spans="2:3" ht="6" customHeight="1" x14ac:dyDescent="0.35"/>
    <row r="81" spans="2:3" ht="145" x14ac:dyDescent="0.35">
      <c r="C81" s="21" t="s">
        <v>922</v>
      </c>
    </row>
    <row r="82" spans="2:3" ht="6" customHeight="1" x14ac:dyDescent="0.35"/>
    <row r="83" spans="2:3" ht="43.5" x14ac:dyDescent="0.35">
      <c r="C83" s="21" t="s">
        <v>923</v>
      </c>
    </row>
    <row r="84" spans="2:3" ht="10" customHeight="1" x14ac:dyDescent="0.35"/>
    <row r="85" spans="2:3" ht="3" customHeight="1" x14ac:dyDescent="0.35">
      <c r="B85" s="23"/>
      <c r="C85" s="23"/>
    </row>
    <row r="86" spans="2:3" ht="12" customHeight="1" x14ac:dyDescent="0.35"/>
    <row r="87" spans="2:3" ht="26" customHeight="1" x14ac:dyDescent="0.35">
      <c r="B87" s="39" t="s">
        <v>924</v>
      </c>
    </row>
    <row r="88" spans="2:3" ht="8" customHeight="1" x14ac:dyDescent="0.35"/>
    <row r="89" spans="2:3" ht="20" customHeight="1" x14ac:dyDescent="0.35">
      <c r="B89" s="29" t="s">
        <v>925</v>
      </c>
      <c r="C89" s="40" t="s">
        <v>926</v>
      </c>
    </row>
    <row r="90" spans="2:3" ht="116" x14ac:dyDescent="0.35">
      <c r="C90" s="21" t="s">
        <v>927</v>
      </c>
    </row>
    <row r="91" spans="2:3" ht="10" customHeight="1" x14ac:dyDescent="0.35"/>
    <row r="92" spans="2:3" ht="20" customHeight="1" x14ac:dyDescent="0.35">
      <c r="B92" s="29" t="s">
        <v>928</v>
      </c>
      <c r="C92" s="40" t="s">
        <v>929</v>
      </c>
    </row>
    <row r="93" spans="2:3" ht="116" x14ac:dyDescent="0.35">
      <c r="C93" s="21" t="s">
        <v>930</v>
      </c>
    </row>
    <row r="94" spans="2:3" ht="10" customHeight="1" x14ac:dyDescent="0.35"/>
    <row r="95" spans="2:3" ht="20" customHeight="1" x14ac:dyDescent="0.35">
      <c r="B95" s="29" t="s">
        <v>931</v>
      </c>
      <c r="C95" s="40" t="s">
        <v>932</v>
      </c>
    </row>
    <row r="96" spans="2:3" ht="130.5" x14ac:dyDescent="0.35">
      <c r="C96" s="21" t="s">
        <v>933</v>
      </c>
    </row>
    <row r="97" spans="2:3" ht="10" customHeight="1" x14ac:dyDescent="0.35"/>
    <row r="98" spans="2:3" ht="20" customHeight="1" x14ac:dyDescent="0.35">
      <c r="B98" s="29" t="s">
        <v>934</v>
      </c>
      <c r="C98" s="40" t="s">
        <v>935</v>
      </c>
    </row>
    <row r="99" spans="2:3" ht="130.5" x14ac:dyDescent="0.35">
      <c r="C99" s="21" t="s">
        <v>936</v>
      </c>
    </row>
    <row r="100" spans="2:3" ht="10" customHeight="1" x14ac:dyDescent="0.35"/>
    <row r="101" spans="2:3" ht="20" customHeight="1" x14ac:dyDescent="0.35">
      <c r="B101" s="29" t="s">
        <v>937</v>
      </c>
      <c r="C101" s="40" t="s">
        <v>938</v>
      </c>
    </row>
    <row r="102" spans="2:3" ht="116" x14ac:dyDescent="0.35">
      <c r="C102" s="21" t="s">
        <v>939</v>
      </c>
    </row>
    <row r="103" spans="2:3" ht="10" customHeight="1" x14ac:dyDescent="0.35"/>
    <row r="104" spans="2:3" ht="20" customHeight="1" x14ac:dyDescent="0.35">
      <c r="B104" s="29" t="s">
        <v>940</v>
      </c>
      <c r="C104" s="40" t="s">
        <v>941</v>
      </c>
    </row>
    <row r="105" spans="2:3" ht="116" x14ac:dyDescent="0.35">
      <c r="C105" s="21" t="s">
        <v>942</v>
      </c>
    </row>
    <row r="106" spans="2:3" ht="10" customHeight="1" x14ac:dyDescent="0.35"/>
    <row r="107" spans="2:3" ht="20" customHeight="1" x14ac:dyDescent="0.35">
      <c r="B107" s="29" t="s">
        <v>943</v>
      </c>
      <c r="C107" s="40" t="s">
        <v>944</v>
      </c>
    </row>
    <row r="108" spans="2:3" ht="130.5" x14ac:dyDescent="0.35">
      <c r="C108" s="21" t="s">
        <v>945</v>
      </c>
    </row>
    <row r="109" spans="2:3" ht="10" customHeight="1" x14ac:dyDescent="0.35"/>
    <row r="110" spans="2:3" ht="20" customHeight="1" x14ac:dyDescent="0.35">
      <c r="B110" s="29" t="s">
        <v>946</v>
      </c>
      <c r="C110" s="40" t="s">
        <v>947</v>
      </c>
    </row>
    <row r="111" spans="2:3" ht="203" x14ac:dyDescent="0.35">
      <c r="C111" s="21" t="s">
        <v>948</v>
      </c>
    </row>
    <row r="112" spans="2:3" ht="10" customHeight="1" x14ac:dyDescent="0.35"/>
    <row r="115" spans="2:3" ht="32" customHeight="1" x14ac:dyDescent="0.35">
      <c r="B115" s="291" t="s">
        <v>865</v>
      </c>
      <c r="C115" s="291"/>
    </row>
  </sheetData>
  <sheetProtection password="90EA" sheet="1"/>
  <mergeCells count="1">
    <mergeCell ref="B115:C115"/>
  </mergeCells>
  <hyperlinks>
    <hyperlink ref="C5" r:id="rId1" xr:uid="{00000000-0004-0000-0000-000000000000}"/>
    <hyperlink ref="C6" r:id="rId2" xr:uid="{00000000-0004-0000-0000-000001000000}"/>
    <hyperlink ref="C37" r:id="rId3" xr:uid="{00000000-0004-0000-0000-000002000000}"/>
    <hyperlink ref="B115"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3632</v>
      </c>
      <c r="B1" s="233" t="s">
        <v>0</v>
      </c>
      <c r="C1" s="233" t="s">
        <v>1109</v>
      </c>
      <c r="D1" s="233" t="s">
        <v>1110</v>
      </c>
      <c r="E1" s="233" t="s">
        <v>1115</v>
      </c>
      <c r="F1" s="233" t="s">
        <v>1116</v>
      </c>
      <c r="G1" s="233" t="s">
        <v>1117</v>
      </c>
      <c r="H1" s="233" t="s">
        <v>1118</v>
      </c>
      <c r="I1" s="233" t="s">
        <v>1119</v>
      </c>
      <c r="J1" s="233" t="s">
        <v>1120</v>
      </c>
      <c r="K1" s="233" t="s">
        <v>1121</v>
      </c>
      <c r="L1" s="233" t="s">
        <v>1122</v>
      </c>
      <c r="M1" s="233" t="s">
        <v>1123</v>
      </c>
      <c r="N1" s="233" t="s">
        <v>1124</v>
      </c>
      <c r="O1" s="233" t="s">
        <v>1125</v>
      </c>
      <c r="P1" s="233" t="s">
        <v>1126</v>
      </c>
      <c r="Q1" s="233" t="s">
        <v>1127</v>
      </c>
      <c r="R1" s="233" t="s">
        <v>1128</v>
      </c>
      <c r="S1" s="233" t="s">
        <v>1129</v>
      </c>
      <c r="T1" s="233" t="s">
        <v>1130</v>
      </c>
      <c r="U1" s="233" t="s">
        <v>1131</v>
      </c>
      <c r="V1" s="233" t="s">
        <v>1132</v>
      </c>
      <c r="W1" s="233" t="s">
        <v>1133</v>
      </c>
      <c r="X1" s="233" t="s">
        <v>1134</v>
      </c>
      <c r="Y1" s="233" t="s">
        <v>1135</v>
      </c>
      <c r="Z1" s="233" t="s">
        <v>1136</v>
      </c>
      <c r="AA1" s="233" t="s">
        <v>1137</v>
      </c>
      <c r="AB1" s="233" t="s">
        <v>1138</v>
      </c>
      <c r="AC1" s="233" t="s">
        <v>1139</v>
      </c>
      <c r="AD1" s="233" t="s">
        <v>1140</v>
      </c>
      <c r="AE1" s="233" t="s">
        <v>1141</v>
      </c>
      <c r="AF1" s="233" t="s">
        <v>1142</v>
      </c>
      <c r="AG1" s="233" t="s">
        <v>1143</v>
      </c>
      <c r="AH1" s="233" t="s">
        <v>1144</v>
      </c>
      <c r="AI1" s="233" t="s">
        <v>1145</v>
      </c>
      <c r="AJ1" s="233" t="s">
        <v>1146</v>
      </c>
      <c r="AK1" s="233" t="s">
        <v>1147</v>
      </c>
      <c r="AL1" s="233" t="s">
        <v>1148</v>
      </c>
      <c r="AM1" s="233" t="s">
        <v>1149</v>
      </c>
      <c r="AN1" s="233" t="s">
        <v>1150</v>
      </c>
      <c r="AO1" s="233" t="s">
        <v>1151</v>
      </c>
      <c r="AP1" s="233" t="s">
        <v>1152</v>
      </c>
      <c r="AQ1" s="233" t="s">
        <v>1153</v>
      </c>
      <c r="AR1" s="233" t="s">
        <v>1154</v>
      </c>
      <c r="AS1" s="234" t="s">
        <v>1155</v>
      </c>
    </row>
    <row r="2" spans="1:45" ht="60" customHeight="1" outlineLevel="1" x14ac:dyDescent="0.35">
      <c r="A2" s="226" t="s">
        <v>3633</v>
      </c>
      <c r="B2" s="213" t="s">
        <v>3634</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3633</v>
      </c>
      <c r="B3" s="214" t="s">
        <v>3635</v>
      </c>
      <c r="C3" s="215" t="s">
        <v>3636</v>
      </c>
      <c r="D3" s="217" t="s">
        <v>3637</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3633</v>
      </c>
      <c r="B4" s="214" t="s">
        <v>3638</v>
      </c>
      <c r="C4" s="215" t="s">
        <v>3639</v>
      </c>
      <c r="D4" s="217" t="s">
        <v>3640</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3633</v>
      </c>
      <c r="B5" s="214" t="s">
        <v>3641</v>
      </c>
      <c r="C5" s="215" t="s">
        <v>3642</v>
      </c>
      <c r="D5" s="217" t="s">
        <v>3643</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3633</v>
      </c>
      <c r="B6" s="214" t="s">
        <v>3644</v>
      </c>
      <c r="C6" s="215" t="s">
        <v>3645</v>
      </c>
      <c r="D6" s="217" t="s">
        <v>3646</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3633</v>
      </c>
      <c r="B7" s="214" t="s">
        <v>3647</v>
      </c>
      <c r="C7" s="215" t="s">
        <v>3648</v>
      </c>
      <c r="D7" s="217" t="s">
        <v>3649</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3633</v>
      </c>
      <c r="B8" s="214" t="s">
        <v>3650</v>
      </c>
      <c r="C8" s="215" t="s">
        <v>3651</v>
      </c>
      <c r="D8" s="217" t="s">
        <v>3652</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3633</v>
      </c>
      <c r="B9" s="214" t="s">
        <v>3653</v>
      </c>
      <c r="C9" s="215" t="s">
        <v>3654</v>
      </c>
      <c r="D9" s="217" t="s">
        <v>3655</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3633</v>
      </c>
      <c r="B10" s="214" t="s">
        <v>3656</v>
      </c>
      <c r="C10" s="215" t="s">
        <v>3657</v>
      </c>
      <c r="D10" s="217" t="s">
        <v>3658</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3633</v>
      </c>
      <c r="B11" s="214" t="s">
        <v>3659</v>
      </c>
      <c r="C11" s="215" t="s">
        <v>3660</v>
      </c>
      <c r="D11" s="217" t="s">
        <v>3661</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3633</v>
      </c>
      <c r="B12" s="214" t="s">
        <v>3662</v>
      </c>
      <c r="C12" s="215" t="s">
        <v>3663</v>
      </c>
      <c r="D12" s="217" t="s">
        <v>3664</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3633</v>
      </c>
      <c r="B13" s="214" t="s">
        <v>3665</v>
      </c>
      <c r="C13" s="215" t="s">
        <v>3666</v>
      </c>
      <c r="D13" s="217" t="s">
        <v>3667</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3633</v>
      </c>
      <c r="B14" s="214" t="s">
        <v>3668</v>
      </c>
      <c r="C14" s="215" t="s">
        <v>3669</v>
      </c>
      <c r="D14" s="217" t="s">
        <v>3670</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3633</v>
      </c>
      <c r="B15" s="214" t="s">
        <v>3671</v>
      </c>
      <c r="C15" s="215" t="s">
        <v>3672</v>
      </c>
      <c r="D15" s="217" t="s">
        <v>3673</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3633</v>
      </c>
      <c r="B16" s="214" t="s">
        <v>3674</v>
      </c>
      <c r="C16" s="215" t="s">
        <v>3675</v>
      </c>
      <c r="D16" s="217" t="s">
        <v>3676</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3633</v>
      </c>
      <c r="B17" s="214" t="s">
        <v>3677</v>
      </c>
      <c r="C17" s="215" t="s">
        <v>3678</v>
      </c>
      <c r="D17" s="217" t="s">
        <v>3679</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3633</v>
      </c>
      <c r="B18" s="214" t="s">
        <v>3680</v>
      </c>
      <c r="C18" s="215" t="s">
        <v>3681</v>
      </c>
      <c r="D18" s="217" t="s">
        <v>3682</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3633</v>
      </c>
      <c r="B19" s="214" t="s">
        <v>3683</v>
      </c>
      <c r="C19" s="215" t="s">
        <v>3684</v>
      </c>
      <c r="D19" s="217" t="s">
        <v>3685</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3633</v>
      </c>
      <c r="B20" s="214" t="s">
        <v>3686</v>
      </c>
      <c r="C20" s="215" t="s">
        <v>3687</v>
      </c>
      <c r="D20" s="217" t="s">
        <v>3688</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3633</v>
      </c>
      <c r="B21" s="214" t="s">
        <v>3689</v>
      </c>
      <c r="C21" s="215" t="s">
        <v>3690</v>
      </c>
      <c r="D21" s="217" t="s">
        <v>3691</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3633</v>
      </c>
      <c r="B22" s="214" t="s">
        <v>3692</v>
      </c>
      <c r="C22" s="215" t="s">
        <v>3693</v>
      </c>
      <c r="D22" s="217" t="s">
        <v>3694</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3633</v>
      </c>
      <c r="B23" s="214" t="s">
        <v>3695</v>
      </c>
      <c r="C23" s="215" t="s">
        <v>3696</v>
      </c>
      <c r="D23" s="217" t="s">
        <v>3697</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3633</v>
      </c>
      <c r="B24" s="214" t="s">
        <v>3698</v>
      </c>
      <c r="C24" s="215" t="s">
        <v>3699</v>
      </c>
      <c r="D24" s="217" t="s">
        <v>3700</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3633</v>
      </c>
      <c r="B25" s="214" t="s">
        <v>3701</v>
      </c>
      <c r="C25" s="215" t="s">
        <v>3702</v>
      </c>
      <c r="D25" s="217" t="s">
        <v>3703</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3633</v>
      </c>
      <c r="B26" s="214" t="s">
        <v>3704</v>
      </c>
      <c r="C26" s="215" t="s">
        <v>3705</v>
      </c>
      <c r="D26" s="217" t="s">
        <v>3706</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3633</v>
      </c>
      <c r="B27" s="214" t="s">
        <v>3707</v>
      </c>
      <c r="C27" s="215" t="s">
        <v>3708</v>
      </c>
      <c r="D27" s="217" t="s">
        <v>3709</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3633</v>
      </c>
      <c r="B28" s="214" t="s">
        <v>3710</v>
      </c>
      <c r="C28" s="215" t="s">
        <v>3711</v>
      </c>
      <c r="D28" s="217" t="s">
        <v>3712</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3633</v>
      </c>
      <c r="B29" s="214" t="s">
        <v>3713</v>
      </c>
      <c r="C29" s="215" t="s">
        <v>3714</v>
      </c>
      <c r="D29" s="217" t="s">
        <v>3715</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3633</v>
      </c>
      <c r="B30" s="214" t="s">
        <v>3716</v>
      </c>
      <c r="C30" s="215" t="s">
        <v>3717</v>
      </c>
      <c r="D30" s="217" t="s">
        <v>3718</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3633</v>
      </c>
      <c r="B31" s="214" t="s">
        <v>3719</v>
      </c>
      <c r="C31" s="215" t="s">
        <v>3720</v>
      </c>
      <c r="D31" s="217" t="s">
        <v>3721</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3633</v>
      </c>
      <c r="B32" s="214" t="s">
        <v>3722</v>
      </c>
      <c r="C32" s="215" t="s">
        <v>3723</v>
      </c>
      <c r="D32" s="217" t="s">
        <v>3724</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3633</v>
      </c>
      <c r="B33" s="214" t="s">
        <v>3725</v>
      </c>
      <c r="C33" s="215" t="s">
        <v>3726</v>
      </c>
      <c r="D33" s="217" t="s">
        <v>3727</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3633</v>
      </c>
      <c r="B34" s="214" t="s">
        <v>3728</v>
      </c>
      <c r="C34" s="215" t="s">
        <v>3729</v>
      </c>
      <c r="D34" s="217" t="s">
        <v>3730</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3633</v>
      </c>
      <c r="B35" s="214" t="s">
        <v>3731</v>
      </c>
      <c r="C35" s="215" t="s">
        <v>3732</v>
      </c>
      <c r="D35" s="217" t="s">
        <v>3733</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3633</v>
      </c>
      <c r="B36" s="214" t="s">
        <v>3734</v>
      </c>
      <c r="C36" s="215" t="s">
        <v>3735</v>
      </c>
      <c r="D36" s="217" t="s">
        <v>3736</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3633</v>
      </c>
      <c r="B37" s="214" t="s">
        <v>3737</v>
      </c>
      <c r="C37" s="215" t="s">
        <v>3738</v>
      </c>
      <c r="D37" s="217" t="s">
        <v>3739</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3633</v>
      </c>
      <c r="B38" s="214" t="s">
        <v>3740</v>
      </c>
      <c r="C38" s="215" t="s">
        <v>3741</v>
      </c>
      <c r="D38" s="217" t="s">
        <v>3742</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3633</v>
      </c>
      <c r="B39" s="214" t="s">
        <v>3743</v>
      </c>
      <c r="C39" s="215" t="s">
        <v>3744</v>
      </c>
      <c r="D39" s="217" t="s">
        <v>3745</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3746</v>
      </c>
      <c r="B40" s="213" t="s">
        <v>3747</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3746</v>
      </c>
      <c r="B41" s="214" t="s">
        <v>3748</v>
      </c>
      <c r="C41" s="215" t="s">
        <v>3749</v>
      </c>
      <c r="D41" s="217" t="s">
        <v>3750</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3746</v>
      </c>
      <c r="B42" s="214" t="s">
        <v>3751</v>
      </c>
      <c r="C42" s="215" t="s">
        <v>3752</v>
      </c>
      <c r="D42" s="217" t="s">
        <v>3753</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3746</v>
      </c>
      <c r="B43" s="214" t="s">
        <v>3754</v>
      </c>
      <c r="C43" s="215" t="s">
        <v>3755</v>
      </c>
      <c r="D43" s="217" t="s">
        <v>3756</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3746</v>
      </c>
      <c r="B44" s="214" t="s">
        <v>3757</v>
      </c>
      <c r="C44" s="215" t="s">
        <v>3758</v>
      </c>
      <c r="D44" s="217" t="s">
        <v>3759</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3746</v>
      </c>
      <c r="B45" s="214" t="s">
        <v>3760</v>
      </c>
      <c r="C45" s="215" t="s">
        <v>3761</v>
      </c>
      <c r="D45" s="217" t="s">
        <v>3762</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3746</v>
      </c>
      <c r="B46" s="214" t="s">
        <v>3763</v>
      </c>
      <c r="C46" s="215" t="s">
        <v>3764</v>
      </c>
      <c r="D46" s="217" t="s">
        <v>3765</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3746</v>
      </c>
      <c r="B47" s="214" t="s">
        <v>3766</v>
      </c>
      <c r="C47" s="215" t="s">
        <v>3767</v>
      </c>
      <c r="D47" s="217" t="s">
        <v>3768</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3746</v>
      </c>
      <c r="B48" s="214" t="s">
        <v>3769</v>
      </c>
      <c r="C48" s="215" t="s">
        <v>3770</v>
      </c>
      <c r="D48" s="217" t="s">
        <v>3771</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3772</v>
      </c>
      <c r="B49" s="213" t="s">
        <v>3773</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3772</v>
      </c>
      <c r="B50" s="214" t="s">
        <v>3774</v>
      </c>
      <c r="C50" s="215" t="s">
        <v>3775</v>
      </c>
      <c r="D50" s="217" t="s">
        <v>3776</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3772</v>
      </c>
      <c r="B51" s="214" t="s">
        <v>3777</v>
      </c>
      <c r="C51" s="215" t="s">
        <v>3778</v>
      </c>
      <c r="D51" s="217" t="s">
        <v>3779</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3772</v>
      </c>
      <c r="B52" s="214" t="s">
        <v>3780</v>
      </c>
      <c r="C52" s="215" t="s">
        <v>3781</v>
      </c>
      <c r="D52" s="217" t="s">
        <v>3782</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3772</v>
      </c>
      <c r="B53" s="214" t="s">
        <v>3783</v>
      </c>
      <c r="C53" s="215" t="s">
        <v>3784</v>
      </c>
      <c r="D53" s="217" t="s">
        <v>3785</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3772</v>
      </c>
      <c r="B54" s="214" t="s">
        <v>3786</v>
      </c>
      <c r="C54" s="215" t="s">
        <v>3787</v>
      </c>
      <c r="D54" s="217" t="s">
        <v>3788</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3772</v>
      </c>
      <c r="B55" s="214" t="s">
        <v>3789</v>
      </c>
      <c r="C55" s="215" t="s">
        <v>3790</v>
      </c>
      <c r="D55" s="217" t="s">
        <v>3791</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3772</v>
      </c>
      <c r="B56" s="214" t="s">
        <v>3792</v>
      </c>
      <c r="C56" s="215" t="s">
        <v>3793</v>
      </c>
      <c r="D56" s="217" t="s">
        <v>3794</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3772</v>
      </c>
      <c r="B57" s="214" t="s">
        <v>3795</v>
      </c>
      <c r="C57" s="215" t="s">
        <v>3796</v>
      </c>
      <c r="D57" s="217" t="s">
        <v>3797</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3772</v>
      </c>
      <c r="B58" s="214" t="s">
        <v>3798</v>
      </c>
      <c r="C58" s="215" t="s">
        <v>3799</v>
      </c>
      <c r="D58" s="217" t="s">
        <v>3800</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3772</v>
      </c>
      <c r="B59" s="214" t="s">
        <v>3801</v>
      </c>
      <c r="C59" s="215" t="s">
        <v>3802</v>
      </c>
      <c r="D59" s="217" t="s">
        <v>3803</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3772</v>
      </c>
      <c r="B60" s="214" t="s">
        <v>3804</v>
      </c>
      <c r="C60" s="215" t="s">
        <v>3805</v>
      </c>
      <c r="D60" s="217" t="s">
        <v>3806</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3772</v>
      </c>
      <c r="B61" s="214" t="s">
        <v>3807</v>
      </c>
      <c r="C61" s="215" t="s">
        <v>3808</v>
      </c>
      <c r="D61" s="217" t="s">
        <v>3809</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3772</v>
      </c>
      <c r="B62" s="214" t="s">
        <v>3810</v>
      </c>
      <c r="C62" s="215" t="s">
        <v>3811</v>
      </c>
      <c r="D62" s="217" t="s">
        <v>3812</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3772</v>
      </c>
      <c r="B63" s="214" t="s">
        <v>3813</v>
      </c>
      <c r="C63" s="215" t="s">
        <v>3814</v>
      </c>
      <c r="D63" s="217" t="s">
        <v>3815</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3816</v>
      </c>
      <c r="B64" s="213" t="s">
        <v>3817</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3816</v>
      </c>
      <c r="B65" s="214" t="s">
        <v>3818</v>
      </c>
      <c r="C65" s="215" t="s">
        <v>3819</v>
      </c>
      <c r="D65" s="217" t="s">
        <v>3820</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3816</v>
      </c>
      <c r="B66" s="214" t="s">
        <v>3821</v>
      </c>
      <c r="C66" s="215" t="s">
        <v>3822</v>
      </c>
      <c r="D66" s="217" t="s">
        <v>3823</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3816</v>
      </c>
      <c r="B67" s="214" t="s">
        <v>3824</v>
      </c>
      <c r="C67" s="215" t="s">
        <v>3825</v>
      </c>
      <c r="D67" s="217" t="s">
        <v>3826</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3816</v>
      </c>
      <c r="B68" s="214" t="s">
        <v>3827</v>
      </c>
      <c r="C68" s="215" t="s">
        <v>3828</v>
      </c>
      <c r="D68" s="217" t="s">
        <v>3829</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3816</v>
      </c>
      <c r="B69" s="214" t="s">
        <v>3830</v>
      </c>
      <c r="C69" s="215" t="s">
        <v>3831</v>
      </c>
      <c r="D69" s="217" t="s">
        <v>3832</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3816</v>
      </c>
      <c r="B70" s="214" t="s">
        <v>3833</v>
      </c>
      <c r="C70" s="215" t="s">
        <v>3834</v>
      </c>
      <c r="D70" s="217" t="s">
        <v>3835</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3816</v>
      </c>
      <c r="B71" s="214" t="s">
        <v>3836</v>
      </c>
      <c r="C71" s="215" t="s">
        <v>3837</v>
      </c>
      <c r="D71" s="217" t="s">
        <v>3838</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3816</v>
      </c>
      <c r="B72" s="214" t="s">
        <v>3839</v>
      </c>
      <c r="C72" s="215" t="s">
        <v>3840</v>
      </c>
      <c r="D72" s="217" t="s">
        <v>3841</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3816</v>
      </c>
      <c r="B73" s="214" t="s">
        <v>3842</v>
      </c>
      <c r="C73" s="215" t="s">
        <v>3843</v>
      </c>
      <c r="D73" s="217" t="s">
        <v>3844</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3816</v>
      </c>
      <c r="B74" s="214" t="s">
        <v>3845</v>
      </c>
      <c r="C74" s="215" t="s">
        <v>3846</v>
      </c>
      <c r="D74" s="217" t="s">
        <v>3847</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3816</v>
      </c>
      <c r="B75" s="214" t="s">
        <v>3848</v>
      </c>
      <c r="C75" s="215" t="s">
        <v>3849</v>
      </c>
      <c r="D75" s="217" t="s">
        <v>3850</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3816</v>
      </c>
      <c r="B76" s="214" t="s">
        <v>3851</v>
      </c>
      <c r="C76" s="215" t="s">
        <v>3852</v>
      </c>
      <c r="D76" s="217" t="s">
        <v>3853</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3816</v>
      </c>
      <c r="B77" s="214" t="s">
        <v>3854</v>
      </c>
      <c r="C77" s="215" t="s">
        <v>3855</v>
      </c>
      <c r="D77" s="217" t="s">
        <v>3856</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3816</v>
      </c>
      <c r="B78" s="214" t="s">
        <v>3857</v>
      </c>
      <c r="C78" s="215" t="s">
        <v>3858</v>
      </c>
      <c r="D78" s="217" t="s">
        <v>3859</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3816</v>
      </c>
      <c r="B79" s="214" t="s">
        <v>3860</v>
      </c>
      <c r="C79" s="215" t="s">
        <v>3861</v>
      </c>
      <c r="D79" s="217" t="s">
        <v>3862</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3816</v>
      </c>
      <c r="B80" s="214" t="s">
        <v>3863</v>
      </c>
      <c r="C80" s="215" t="s">
        <v>3864</v>
      </c>
      <c r="D80" s="217" t="s">
        <v>3865</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3816</v>
      </c>
      <c r="B81" s="214" t="s">
        <v>3866</v>
      </c>
      <c r="C81" s="215" t="s">
        <v>3867</v>
      </c>
      <c r="D81" s="217" t="s">
        <v>3868</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3816</v>
      </c>
      <c r="B82" s="214" t="s">
        <v>3869</v>
      </c>
      <c r="C82" s="215" t="s">
        <v>3870</v>
      </c>
      <c r="D82" s="217" t="s">
        <v>3871</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3816</v>
      </c>
      <c r="B83" s="214" t="s">
        <v>3872</v>
      </c>
      <c r="C83" s="215" t="s">
        <v>3873</v>
      </c>
      <c r="D83" s="217" t="s">
        <v>3874</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3816</v>
      </c>
      <c r="B84" s="214" t="s">
        <v>3875</v>
      </c>
      <c r="C84" s="215" t="s">
        <v>3876</v>
      </c>
      <c r="D84" s="217" t="s">
        <v>3877</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3816</v>
      </c>
      <c r="B85" s="214" t="s">
        <v>3878</v>
      </c>
      <c r="C85" s="215" t="s">
        <v>3879</v>
      </c>
      <c r="D85" s="217" t="s">
        <v>3880</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3816</v>
      </c>
      <c r="B86" s="214" t="s">
        <v>3881</v>
      </c>
      <c r="C86" s="215" t="s">
        <v>3882</v>
      </c>
      <c r="D86" s="217" t="s">
        <v>3883</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3816</v>
      </c>
      <c r="B87" s="214" t="s">
        <v>3884</v>
      </c>
      <c r="C87" s="215" t="s">
        <v>3885</v>
      </c>
      <c r="D87" s="217" t="s">
        <v>3886</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3816</v>
      </c>
      <c r="B88" s="214" t="s">
        <v>3887</v>
      </c>
      <c r="C88" s="215" t="s">
        <v>3888</v>
      </c>
      <c r="D88" s="217" t="s">
        <v>3889</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3816</v>
      </c>
      <c r="B89" s="214" t="s">
        <v>3890</v>
      </c>
      <c r="C89" s="215" t="s">
        <v>3891</v>
      </c>
      <c r="D89" s="217" t="s">
        <v>3892</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3816</v>
      </c>
      <c r="B90" s="214" t="s">
        <v>3893</v>
      </c>
      <c r="C90" s="215" t="s">
        <v>3894</v>
      </c>
      <c r="D90" s="217" t="s">
        <v>3895</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3816</v>
      </c>
      <c r="B91" s="214" t="s">
        <v>3896</v>
      </c>
      <c r="C91" s="215" t="s">
        <v>3897</v>
      </c>
      <c r="D91" s="217" t="s">
        <v>3898</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3816</v>
      </c>
      <c r="B92" s="214" t="s">
        <v>3899</v>
      </c>
      <c r="C92" s="215" t="s">
        <v>3900</v>
      </c>
      <c r="D92" s="217" t="s">
        <v>3901</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3816</v>
      </c>
      <c r="B93" s="214" t="s">
        <v>3902</v>
      </c>
      <c r="C93" s="215" t="s">
        <v>3903</v>
      </c>
      <c r="D93" s="217" t="s">
        <v>3904</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3816</v>
      </c>
      <c r="B94" s="214" t="s">
        <v>3905</v>
      </c>
      <c r="C94" s="215" t="s">
        <v>3906</v>
      </c>
      <c r="D94" s="217" t="s">
        <v>3907</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3816</v>
      </c>
      <c r="B95" s="214" t="s">
        <v>3908</v>
      </c>
      <c r="C95" s="215" t="s">
        <v>3909</v>
      </c>
      <c r="D95" s="217" t="s">
        <v>3910</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3816</v>
      </c>
      <c r="B96" s="214" t="s">
        <v>3911</v>
      </c>
      <c r="C96" s="215" t="s">
        <v>3912</v>
      </c>
      <c r="D96" s="217" t="s">
        <v>3913</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3816</v>
      </c>
      <c r="B97" s="214" t="s">
        <v>3914</v>
      </c>
      <c r="C97" s="215" t="s">
        <v>3915</v>
      </c>
      <c r="D97" s="217" t="s">
        <v>3916</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3816</v>
      </c>
      <c r="B98" s="221" t="s">
        <v>3917</v>
      </c>
      <c r="C98" s="222" t="s">
        <v>3918</v>
      </c>
      <c r="D98" s="223" t="s">
        <v>3919</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865</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IFERROR(INDEX('Recommendations'!$H$2:$H$178, MATCH(F2,'Recommendations'!$A$2:$A$178,0))="Implemented", FALSE))</xm:f>
            <x14:dxf>
              <font>
                <color rgb="FF000000"/>
              </font>
              <fill>
                <patternFill>
                  <bgColor rgb="FF3C7D22"/>
                </patternFill>
              </fill>
            </x14:dxf>
          </x14:cfRule>
          <x14:cfRule type="expression" priority="2" id="{00000000-000E-0000-0900-000002000000}">
            <xm:f>AND(F2&lt;&gt;"", IFERROR(INDEX('Recommendations'!$H$2:$H$178, MATCH(F2,'Recommendations'!$A$2:$A$178,0))="Compensated", FALSE))</xm:f>
            <x14:dxf>
              <font>
                <color rgb="FF000000"/>
              </font>
              <fill>
                <patternFill>
                  <bgColor rgb="FFC6E0B4"/>
                </patternFill>
              </fill>
            </x14:dxf>
          </x14:cfRule>
          <x14:cfRule type="expression" priority="3" id="{00000000-000E-0000-0900-000003000000}">
            <xm:f>AND(F2&lt;&gt;"", IFERROR(INDEX('Recommendations'!$H$2:$H$178, MATCH(F2,'Recommendations'!$A$2:$A$178,0))="Testing", FALSE))</xm:f>
            <x14:dxf>
              <font>
                <color rgb="FF000000"/>
              </font>
              <fill>
                <patternFill>
                  <bgColor rgb="FFFFC000"/>
                </patternFill>
              </fill>
            </x14:dxf>
          </x14:cfRule>
          <x14:cfRule type="expression" priority="4" id="{00000000-000E-0000-0900-000004000000}">
            <xm:f>AND(F2&lt;&gt;"", IFERROR(INDEX('Recommendations'!$H$2:$H$178, MATCH(F2,'Recommendations'!$A$2:$A$178,0))="Failed", FALSE))</xm:f>
            <x14:dxf>
              <font>
                <color rgb="FF000000"/>
              </font>
              <fill>
                <patternFill>
                  <bgColor rgb="FFD82891"/>
                </patternFill>
              </fill>
            </x14:dxf>
          </x14:cfRule>
          <x14:cfRule type="expression" priority="5" id="{00000000-000E-0000-0900-000005000000}">
            <xm:f>AND(F2&lt;&gt;"", IFERROR(INDEX('Recommendations'!$H$2:$H$178, MATCH(F2,'Recommendations'!$A$2:$A$178,0))="Risk Accepted", FALSE))</xm:f>
            <x14:dxf>
              <font>
                <color rgb="FF000000"/>
              </font>
              <fill>
                <patternFill>
                  <bgColor rgb="FFD9D9D9"/>
                </patternFill>
              </fill>
            </x14:dxf>
          </x14:cfRule>
          <x14:cfRule type="expression" priority="6" id="{00000000-000E-0000-0900-000006000000}">
            <xm:f>AND(F2&lt;&gt;"", IFERROR(INDEX('Recommendations'!$H$2:$H$178, MATCH(F2,'Recommendations'!$A$2:$A$178,0))="N/A",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3920</v>
      </c>
      <c r="C1" s="256" t="s">
        <v>3921</v>
      </c>
      <c r="D1" s="256" t="s">
        <v>3922</v>
      </c>
      <c r="E1" s="256" t="s">
        <v>3923</v>
      </c>
      <c r="F1" s="256" t="s">
        <v>2749</v>
      </c>
      <c r="G1" s="256" t="s">
        <v>3924</v>
      </c>
      <c r="H1" s="256" t="s">
        <v>3925</v>
      </c>
      <c r="I1" s="256" t="s">
        <v>3926</v>
      </c>
      <c r="J1" s="256" t="s">
        <v>11</v>
      </c>
      <c r="K1" s="256" t="s">
        <v>1115</v>
      </c>
      <c r="L1" s="256" t="s">
        <v>1116</v>
      </c>
      <c r="M1" s="256" t="s">
        <v>1117</v>
      </c>
      <c r="N1" s="256" t="s">
        <v>1118</v>
      </c>
      <c r="O1" s="256" t="s">
        <v>1119</v>
      </c>
      <c r="P1" s="256" t="s">
        <v>1120</v>
      </c>
      <c r="Q1" s="256" t="s">
        <v>1121</v>
      </c>
      <c r="R1" s="256" t="s">
        <v>1122</v>
      </c>
      <c r="S1" s="256" t="s">
        <v>1123</v>
      </c>
      <c r="T1" s="256" t="s">
        <v>1124</v>
      </c>
      <c r="U1" s="256" t="s">
        <v>1125</v>
      </c>
      <c r="V1" s="256" t="s">
        <v>1126</v>
      </c>
      <c r="W1" s="256" t="s">
        <v>1127</v>
      </c>
      <c r="X1" s="256" t="s">
        <v>1128</v>
      </c>
      <c r="Y1" s="256" t="s">
        <v>1129</v>
      </c>
      <c r="Z1" s="256" t="s">
        <v>1130</v>
      </c>
      <c r="AA1" s="256" t="s">
        <v>1131</v>
      </c>
      <c r="AB1" s="256" t="s">
        <v>1132</v>
      </c>
      <c r="AC1" s="256" t="s">
        <v>1133</v>
      </c>
      <c r="AD1" s="256" t="s">
        <v>1134</v>
      </c>
      <c r="AE1" s="256" t="s">
        <v>1135</v>
      </c>
      <c r="AF1" s="256" t="s">
        <v>1136</v>
      </c>
      <c r="AG1" s="256" t="s">
        <v>1137</v>
      </c>
      <c r="AH1" s="256" t="s">
        <v>1138</v>
      </c>
      <c r="AI1" s="256" t="s">
        <v>1139</v>
      </c>
      <c r="AJ1" s="256" t="s">
        <v>1140</v>
      </c>
      <c r="AK1" s="256" t="s">
        <v>1141</v>
      </c>
      <c r="AL1" s="256" t="s">
        <v>1142</v>
      </c>
      <c r="AM1" s="256" t="s">
        <v>1143</v>
      </c>
      <c r="AN1" s="256" t="s">
        <v>1144</v>
      </c>
      <c r="AO1" s="256" t="s">
        <v>1145</v>
      </c>
      <c r="AP1" s="256" t="s">
        <v>1146</v>
      </c>
      <c r="AQ1" s="256" t="s">
        <v>1147</v>
      </c>
      <c r="AR1" s="256" t="s">
        <v>1148</v>
      </c>
      <c r="AS1" s="256" t="s">
        <v>1149</v>
      </c>
      <c r="AT1" s="256" t="s">
        <v>1150</v>
      </c>
      <c r="AU1" s="256" t="s">
        <v>1151</v>
      </c>
      <c r="AV1" s="256" t="s">
        <v>1152</v>
      </c>
      <c r="AW1" s="256" t="s">
        <v>1153</v>
      </c>
      <c r="AX1" s="256" t="s">
        <v>1154</v>
      </c>
      <c r="AY1" s="257" t="s">
        <v>1155</v>
      </c>
    </row>
    <row r="2" spans="1:51" ht="60" customHeight="1" outlineLevel="1" x14ac:dyDescent="0.35">
      <c r="A2" s="247" t="s">
        <v>3927</v>
      </c>
      <c r="B2" s="235" t="s">
        <v>3928</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1158</v>
      </c>
      <c r="B3" s="236" t="s">
        <v>3929</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3930</v>
      </c>
      <c r="B4" s="237" t="s">
        <v>3931</v>
      </c>
      <c r="C4" s="237" t="s">
        <v>3932</v>
      </c>
      <c r="D4" s="237" t="s">
        <v>3933</v>
      </c>
      <c r="E4" s="237" t="s">
        <v>3934</v>
      </c>
      <c r="F4" s="237" t="s">
        <v>21</v>
      </c>
      <c r="G4" s="237" t="s">
        <v>21</v>
      </c>
      <c r="H4" s="237" t="s">
        <v>3935</v>
      </c>
      <c r="I4" s="237" t="s">
        <v>21</v>
      </c>
      <c r="J4" s="237" t="s">
        <v>3936</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3937</v>
      </c>
      <c r="B5" s="237" t="s">
        <v>3938</v>
      </c>
      <c r="C5" s="237" t="s">
        <v>3939</v>
      </c>
      <c r="D5" s="237" t="s">
        <v>3940</v>
      </c>
      <c r="E5" s="237" t="s">
        <v>3941</v>
      </c>
      <c r="F5" s="237" t="s">
        <v>3942</v>
      </c>
      <c r="G5" s="237" t="s">
        <v>21</v>
      </c>
      <c r="H5" s="237" t="s">
        <v>3943</v>
      </c>
      <c r="I5" s="237" t="s">
        <v>21</v>
      </c>
      <c r="J5" s="237" t="s">
        <v>3944</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1164</v>
      </c>
      <c r="B6" s="236" t="s">
        <v>3945</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3946</v>
      </c>
      <c r="B7" s="237" t="s">
        <v>3947</v>
      </c>
      <c r="C7" s="237" t="s">
        <v>3948</v>
      </c>
      <c r="D7" s="237" t="s">
        <v>3949</v>
      </c>
      <c r="E7" s="237" t="s">
        <v>3941</v>
      </c>
      <c r="F7" s="237" t="s">
        <v>3950</v>
      </c>
      <c r="G7" s="237" t="s">
        <v>21</v>
      </c>
      <c r="H7" s="237" t="s">
        <v>3951</v>
      </c>
      <c r="I7" s="237" t="s">
        <v>21</v>
      </c>
      <c r="J7" s="237" t="s">
        <v>3952</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3953</v>
      </c>
      <c r="B8" s="237" t="s">
        <v>3954</v>
      </c>
      <c r="C8" s="237" t="s">
        <v>3955</v>
      </c>
      <c r="D8" s="237" t="s">
        <v>3956</v>
      </c>
      <c r="E8" s="237" t="s">
        <v>21</v>
      </c>
      <c r="F8" s="237" t="s">
        <v>21</v>
      </c>
      <c r="G8" s="237" t="s">
        <v>21</v>
      </c>
      <c r="H8" s="237" t="s">
        <v>3957</v>
      </c>
      <c r="I8" s="237" t="s">
        <v>3958</v>
      </c>
      <c r="J8" s="237" t="s">
        <v>3959</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3960</v>
      </c>
      <c r="B9" s="237" t="s">
        <v>3961</v>
      </c>
      <c r="C9" s="237" t="s">
        <v>3962</v>
      </c>
      <c r="D9" s="237" t="s">
        <v>3963</v>
      </c>
      <c r="E9" s="237" t="s">
        <v>21</v>
      </c>
      <c r="F9" s="237" t="s">
        <v>21</v>
      </c>
      <c r="G9" s="237" t="s">
        <v>21</v>
      </c>
      <c r="H9" s="237" t="s">
        <v>3964</v>
      </c>
      <c r="I9" s="237" t="s">
        <v>3965</v>
      </c>
      <c r="J9" s="237" t="s">
        <v>3966</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3967</v>
      </c>
      <c r="B10" s="237" t="s">
        <v>3968</v>
      </c>
      <c r="C10" s="237" t="s">
        <v>3969</v>
      </c>
      <c r="D10" s="237" t="s">
        <v>3970</v>
      </c>
      <c r="E10" s="237" t="s">
        <v>21</v>
      </c>
      <c r="F10" s="237" t="s">
        <v>21</v>
      </c>
      <c r="G10" s="237" t="s">
        <v>21</v>
      </c>
      <c r="H10" s="237" t="s">
        <v>3971</v>
      </c>
      <c r="I10" s="237" t="s">
        <v>3972</v>
      </c>
      <c r="J10" s="237" t="s">
        <v>3973</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3974</v>
      </c>
      <c r="B11" s="237" t="s">
        <v>3975</v>
      </c>
      <c r="C11" s="237" t="s">
        <v>3976</v>
      </c>
      <c r="D11" s="237" t="s">
        <v>3977</v>
      </c>
      <c r="E11" s="237" t="s">
        <v>21</v>
      </c>
      <c r="F11" s="237" t="s">
        <v>21</v>
      </c>
      <c r="G11" s="237" t="s">
        <v>21</v>
      </c>
      <c r="H11" s="237" t="s">
        <v>3978</v>
      </c>
      <c r="I11" s="237" t="s">
        <v>21</v>
      </c>
      <c r="J11" s="237" t="s">
        <v>3979</v>
      </c>
      <c r="K11" s="240">
        <f>IF(COUNTIF(L11:AY11,"&lt;&gt;")=0,"",SUMPRODUCT(((Recommendations[ImplStatus]="Implemented")+(Recommendations[ImplStatus]="Compensated"))*ISNUMBER(MATCH(Recommendations[Id],L11:AY11,0)))/COUNTIF(L11:AY11,"&lt;&gt;"))</f>
        <v>0</v>
      </c>
      <c r="L11" s="243" t="s">
        <v>283</v>
      </c>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3980</v>
      </c>
      <c r="B12" s="237" t="s">
        <v>3981</v>
      </c>
      <c r="C12" s="237" t="s">
        <v>3982</v>
      </c>
      <c r="D12" s="237" t="s">
        <v>3983</v>
      </c>
      <c r="E12" s="237" t="s">
        <v>21</v>
      </c>
      <c r="F12" s="237" t="s">
        <v>21</v>
      </c>
      <c r="G12" s="237" t="s">
        <v>3984</v>
      </c>
      <c r="H12" s="237" t="s">
        <v>3985</v>
      </c>
      <c r="I12" s="237" t="s">
        <v>21</v>
      </c>
      <c r="J12" s="237" t="s">
        <v>3986</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3987</v>
      </c>
      <c r="B13" s="237" t="s">
        <v>3988</v>
      </c>
      <c r="C13" s="237" t="s">
        <v>3989</v>
      </c>
      <c r="D13" s="237" t="s">
        <v>3990</v>
      </c>
      <c r="E13" s="237" t="s">
        <v>21</v>
      </c>
      <c r="F13" s="237" t="s">
        <v>21</v>
      </c>
      <c r="G13" s="237" t="s">
        <v>21</v>
      </c>
      <c r="H13" s="237" t="s">
        <v>3991</v>
      </c>
      <c r="I13" s="237" t="s">
        <v>21</v>
      </c>
      <c r="J13" s="237" t="s">
        <v>3992</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3993</v>
      </c>
      <c r="B14" s="237" t="s">
        <v>3994</v>
      </c>
      <c r="C14" s="237" t="s">
        <v>3995</v>
      </c>
      <c r="D14" s="237" t="s">
        <v>3996</v>
      </c>
      <c r="E14" s="237" t="s">
        <v>21</v>
      </c>
      <c r="F14" s="237" t="s">
        <v>3997</v>
      </c>
      <c r="G14" s="237" t="s">
        <v>21</v>
      </c>
      <c r="H14" s="237" t="s">
        <v>3998</v>
      </c>
      <c r="I14" s="237" t="s">
        <v>3999</v>
      </c>
      <c r="J14" s="237" t="s">
        <v>4000</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1169</v>
      </c>
      <c r="B15" s="236" t="s">
        <v>4001</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4002</v>
      </c>
      <c r="B16" s="237" t="s">
        <v>4003</v>
      </c>
      <c r="C16" s="237" t="s">
        <v>4004</v>
      </c>
      <c r="D16" s="237" t="s">
        <v>3996</v>
      </c>
      <c r="E16" s="237" t="s">
        <v>21</v>
      </c>
      <c r="F16" s="237" t="s">
        <v>4005</v>
      </c>
      <c r="G16" s="237" t="s">
        <v>21</v>
      </c>
      <c r="H16" s="237" t="s">
        <v>4006</v>
      </c>
      <c r="I16" s="237" t="s">
        <v>21</v>
      </c>
      <c r="J16" s="237" t="s">
        <v>4007</v>
      </c>
      <c r="K16" s="240">
        <f>IF(COUNTIF(L16:AY16,"&lt;&gt;")=0,"",SUMPRODUCT(((Recommendations[ImplStatus]="Implemented")+(Recommendations[ImplStatus]="Compensated"))*ISNUMBER(MATCH(Recommendations[Id],L16:AY16,0)))/COUNTIF(L16:AY16,"&lt;&gt;"))</f>
        <v>0</v>
      </c>
      <c r="L16" s="243" t="s">
        <v>283</v>
      </c>
      <c r="M16" s="243" t="s">
        <v>288</v>
      </c>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4008</v>
      </c>
      <c r="B17" s="237" t="s">
        <v>4009</v>
      </c>
      <c r="C17" s="237" t="s">
        <v>4010</v>
      </c>
      <c r="D17" s="237" t="s">
        <v>4011</v>
      </c>
      <c r="E17" s="237" t="s">
        <v>21</v>
      </c>
      <c r="F17" s="237" t="s">
        <v>4005</v>
      </c>
      <c r="G17" s="237" t="s">
        <v>21</v>
      </c>
      <c r="H17" s="237" t="s">
        <v>4012</v>
      </c>
      <c r="I17" s="237" t="s">
        <v>21</v>
      </c>
      <c r="J17" s="237" t="s">
        <v>4013</v>
      </c>
      <c r="K17" s="240">
        <f>IF(COUNTIF(L17:AY17,"&lt;&gt;")=0,"",SUMPRODUCT(((Recommendations[ImplStatus]="Implemented")+(Recommendations[ImplStatus]="Compensated"))*ISNUMBER(MATCH(Recommendations[Id],L17:AY17,0)))/COUNTIF(L17:AY17,"&lt;&gt;"))</f>
        <v>0</v>
      </c>
      <c r="L17" s="243" t="s">
        <v>288</v>
      </c>
      <c r="M17" s="243" t="s">
        <v>515</v>
      </c>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4014</v>
      </c>
      <c r="B18" s="237" t="s">
        <v>4015</v>
      </c>
      <c r="C18" s="237" t="s">
        <v>4016</v>
      </c>
      <c r="D18" s="237" t="s">
        <v>21</v>
      </c>
      <c r="E18" s="237" t="s">
        <v>21</v>
      </c>
      <c r="F18" s="237" t="s">
        <v>21</v>
      </c>
      <c r="G18" s="237" t="s">
        <v>21</v>
      </c>
      <c r="H18" s="237" t="s">
        <v>4017</v>
      </c>
      <c r="I18" s="237" t="s">
        <v>21</v>
      </c>
      <c r="J18" s="237" t="s">
        <v>4018</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1174</v>
      </c>
      <c r="B19" s="236" t="s">
        <v>4019</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4020</v>
      </c>
      <c r="B20" s="237" t="s">
        <v>4021</v>
      </c>
      <c r="C20" s="237" t="s">
        <v>4022</v>
      </c>
      <c r="D20" s="237" t="s">
        <v>4023</v>
      </c>
      <c r="E20" s="237" t="s">
        <v>21</v>
      </c>
      <c r="F20" s="237" t="s">
        <v>4024</v>
      </c>
      <c r="G20" s="237" t="s">
        <v>21</v>
      </c>
      <c r="H20" s="237" t="s">
        <v>4025</v>
      </c>
      <c r="I20" s="237" t="s">
        <v>21</v>
      </c>
      <c r="J20" s="237" t="s">
        <v>4026</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4027</v>
      </c>
      <c r="B21" s="237" t="s">
        <v>4028</v>
      </c>
      <c r="C21" s="237" t="s">
        <v>4029</v>
      </c>
      <c r="D21" s="237" t="s">
        <v>4030</v>
      </c>
      <c r="E21" s="237" t="s">
        <v>4031</v>
      </c>
      <c r="F21" s="237" t="s">
        <v>21</v>
      </c>
      <c r="G21" s="237" t="s">
        <v>21</v>
      </c>
      <c r="H21" s="237" t="s">
        <v>4032</v>
      </c>
      <c r="I21" s="237" t="s">
        <v>4033</v>
      </c>
      <c r="J21" s="237" t="s">
        <v>4034</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4035</v>
      </c>
      <c r="B22" s="237" t="s">
        <v>4036</v>
      </c>
      <c r="C22" s="237" t="s">
        <v>4037</v>
      </c>
      <c r="D22" s="237" t="s">
        <v>4038</v>
      </c>
      <c r="E22" s="237" t="s">
        <v>21</v>
      </c>
      <c r="F22" s="237" t="s">
        <v>4039</v>
      </c>
      <c r="G22" s="237" t="s">
        <v>21</v>
      </c>
      <c r="H22" s="237" t="s">
        <v>4040</v>
      </c>
      <c r="I22" s="237" t="s">
        <v>21</v>
      </c>
      <c r="J22" s="237" t="s">
        <v>4041</v>
      </c>
      <c r="K22" s="240">
        <f>IF(COUNTIF(L22:AY22,"&lt;&gt;")=0,"",SUMPRODUCT(((Recommendations[ImplStatus]="Implemented")+(Recommendations[ImplStatus]="Compensated"))*ISNUMBER(MATCH(Recommendations[Id],L22:AY22,0)))/COUNTIF(L22:AY22,"&lt;&gt;"))</f>
        <v>0</v>
      </c>
      <c r="L22" s="243" t="s">
        <v>298</v>
      </c>
      <c r="M22" s="243" t="s">
        <v>303</v>
      </c>
      <c r="N22" s="243" t="s">
        <v>428</v>
      </c>
      <c r="O22" s="243" t="s">
        <v>433</v>
      </c>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4042</v>
      </c>
      <c r="B23" s="237" t="s">
        <v>4043</v>
      </c>
      <c r="C23" s="237" t="s">
        <v>4044</v>
      </c>
      <c r="D23" s="237" t="s">
        <v>4045</v>
      </c>
      <c r="E23" s="237" t="s">
        <v>21</v>
      </c>
      <c r="F23" s="237" t="s">
        <v>21</v>
      </c>
      <c r="G23" s="237" t="s">
        <v>21</v>
      </c>
      <c r="H23" s="237" t="s">
        <v>4046</v>
      </c>
      <c r="I23" s="237" t="s">
        <v>4047</v>
      </c>
      <c r="J23" s="237" t="s">
        <v>4048</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4049</v>
      </c>
      <c r="B24" s="237" t="s">
        <v>4050</v>
      </c>
      <c r="C24" s="237" t="s">
        <v>4051</v>
      </c>
      <c r="D24" s="237" t="s">
        <v>4045</v>
      </c>
      <c r="E24" s="237" t="s">
        <v>21</v>
      </c>
      <c r="F24" s="237" t="s">
        <v>4052</v>
      </c>
      <c r="G24" s="237" t="s">
        <v>21</v>
      </c>
      <c r="H24" s="237" t="s">
        <v>4053</v>
      </c>
      <c r="I24" s="237" t="s">
        <v>21</v>
      </c>
      <c r="J24" s="237" t="s">
        <v>4054</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1178</v>
      </c>
      <c r="B25" s="236" t="s">
        <v>4055</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4056</v>
      </c>
      <c r="B26" s="237" t="s">
        <v>4057</v>
      </c>
      <c r="C26" s="237" t="s">
        <v>4058</v>
      </c>
      <c r="D26" s="237" t="s">
        <v>4059</v>
      </c>
      <c r="E26" s="237" t="s">
        <v>21</v>
      </c>
      <c r="F26" s="237" t="s">
        <v>4060</v>
      </c>
      <c r="G26" s="237" t="s">
        <v>21</v>
      </c>
      <c r="H26" s="237" t="s">
        <v>4061</v>
      </c>
      <c r="I26" s="237" t="s">
        <v>21</v>
      </c>
      <c r="J26" s="237" t="s">
        <v>4062</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4063</v>
      </c>
      <c r="B27" s="235" t="s">
        <v>4064</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1184</v>
      </c>
      <c r="B28" s="236" t="s">
        <v>4065</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4066</v>
      </c>
      <c r="B29" s="237" t="s">
        <v>4067</v>
      </c>
      <c r="C29" s="237" t="s">
        <v>4068</v>
      </c>
      <c r="D29" s="237" t="s">
        <v>4069</v>
      </c>
      <c r="E29" s="237" t="s">
        <v>4070</v>
      </c>
      <c r="F29" s="237" t="s">
        <v>21</v>
      </c>
      <c r="G29" s="237" t="s">
        <v>21</v>
      </c>
      <c r="H29" s="237" t="s">
        <v>4071</v>
      </c>
      <c r="I29" s="237" t="s">
        <v>21</v>
      </c>
      <c r="J29" s="237" t="s">
        <v>4072</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4073</v>
      </c>
      <c r="B30" s="237" t="s">
        <v>4074</v>
      </c>
      <c r="C30" s="237" t="s">
        <v>3939</v>
      </c>
      <c r="D30" s="237" t="s">
        <v>3940</v>
      </c>
      <c r="E30" s="237" t="s">
        <v>21</v>
      </c>
      <c r="F30" s="237" t="s">
        <v>3942</v>
      </c>
      <c r="G30" s="237" t="s">
        <v>21</v>
      </c>
      <c r="H30" s="237" t="s">
        <v>4075</v>
      </c>
      <c r="I30" s="237" t="s">
        <v>21</v>
      </c>
      <c r="J30" s="237" t="s">
        <v>4076</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1189</v>
      </c>
      <c r="B31" s="236" t="s">
        <v>4077</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4078</v>
      </c>
      <c r="B32" s="237" t="s">
        <v>4079</v>
      </c>
      <c r="C32" s="237" t="s">
        <v>4080</v>
      </c>
      <c r="D32" s="237" t="s">
        <v>4081</v>
      </c>
      <c r="E32" s="237" t="s">
        <v>21</v>
      </c>
      <c r="F32" s="237" t="s">
        <v>21</v>
      </c>
      <c r="G32" s="237" t="s">
        <v>4082</v>
      </c>
      <c r="H32" s="237" t="s">
        <v>4083</v>
      </c>
      <c r="I32" s="237" t="s">
        <v>21</v>
      </c>
      <c r="J32" s="237" t="s">
        <v>4084</v>
      </c>
      <c r="K32" s="240">
        <f>IF(COUNTIF(L32:AY32,"&lt;&gt;")=0,"",SUMPRODUCT(((Recommendations[ImplStatus]="Implemented")+(Recommendations[ImplStatus]="Compensated"))*ISNUMBER(MATCH(Recommendations[Id],L32:AY32,0)))/COUNTIF(L32:AY32,"&lt;&gt;"))</f>
        <v>0</v>
      </c>
      <c r="L32" s="243" t="s">
        <v>835</v>
      </c>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4085</v>
      </c>
      <c r="B33" s="237" t="s">
        <v>4086</v>
      </c>
      <c r="C33" s="237" t="s">
        <v>4087</v>
      </c>
      <c r="D33" s="237" t="s">
        <v>4088</v>
      </c>
      <c r="E33" s="237" t="s">
        <v>21</v>
      </c>
      <c r="F33" s="237" t="s">
        <v>4089</v>
      </c>
      <c r="G33" s="237" t="s">
        <v>21</v>
      </c>
      <c r="H33" s="237" t="s">
        <v>4090</v>
      </c>
      <c r="I33" s="237" t="s">
        <v>4091</v>
      </c>
      <c r="J33" s="237" t="s">
        <v>4092</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4093</v>
      </c>
      <c r="B34" s="237" t="s">
        <v>4094</v>
      </c>
      <c r="C34" s="237" t="s">
        <v>4095</v>
      </c>
      <c r="D34" s="237" t="s">
        <v>4096</v>
      </c>
      <c r="E34" s="237" t="s">
        <v>21</v>
      </c>
      <c r="F34" s="237" t="s">
        <v>21</v>
      </c>
      <c r="G34" s="237" t="s">
        <v>21</v>
      </c>
      <c r="H34" s="237" t="s">
        <v>4097</v>
      </c>
      <c r="I34" s="237" t="s">
        <v>21</v>
      </c>
      <c r="J34" s="237" t="s">
        <v>4098</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4099</v>
      </c>
      <c r="B35" s="237" t="s">
        <v>4100</v>
      </c>
      <c r="C35" s="237" t="s">
        <v>4101</v>
      </c>
      <c r="D35" s="237" t="s">
        <v>4102</v>
      </c>
      <c r="E35" s="237" t="s">
        <v>21</v>
      </c>
      <c r="F35" s="237" t="s">
        <v>4103</v>
      </c>
      <c r="G35" s="237" t="s">
        <v>21</v>
      </c>
      <c r="H35" s="237" t="s">
        <v>4104</v>
      </c>
      <c r="I35" s="237" t="s">
        <v>21</v>
      </c>
      <c r="J35" s="237" t="s">
        <v>4105</v>
      </c>
      <c r="K35" s="240">
        <f>IF(COUNTIF(L35:AY35,"&lt;&gt;")=0,"",SUMPRODUCT(((Recommendations[ImplStatus]="Implemented")+(Recommendations[ImplStatus]="Compensated"))*ISNUMBER(MATCH(Recommendations[Id],L35:AY35,0)))/COUNTIF(L35:AY35,"&lt;&gt;"))</f>
        <v>0</v>
      </c>
      <c r="L35" s="243" t="s">
        <v>68</v>
      </c>
      <c r="M35" s="243" t="s">
        <v>74</v>
      </c>
      <c r="N35" s="243" t="s">
        <v>79</v>
      </c>
      <c r="O35" s="243" t="s">
        <v>104</v>
      </c>
      <c r="P35" s="243" t="s">
        <v>109</v>
      </c>
      <c r="Q35" s="243" t="s">
        <v>124</v>
      </c>
      <c r="R35" s="243" t="s">
        <v>129</v>
      </c>
      <c r="S35" s="243" t="s">
        <v>139</v>
      </c>
      <c r="T35" s="243" t="s">
        <v>183</v>
      </c>
      <c r="U35" s="243" t="s">
        <v>188</v>
      </c>
      <c r="V35" s="243" t="s">
        <v>193</v>
      </c>
      <c r="W35" s="243" t="s">
        <v>485</v>
      </c>
      <c r="X35" s="243" t="s">
        <v>634</v>
      </c>
      <c r="Y35" s="243" t="s">
        <v>679</v>
      </c>
      <c r="Z35" s="243" t="s">
        <v>805</v>
      </c>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4106</v>
      </c>
      <c r="B36" s="237" t="s">
        <v>4107</v>
      </c>
      <c r="C36" s="237" t="s">
        <v>4108</v>
      </c>
      <c r="D36" s="237" t="s">
        <v>4109</v>
      </c>
      <c r="E36" s="237" t="s">
        <v>21</v>
      </c>
      <c r="F36" s="237" t="s">
        <v>21</v>
      </c>
      <c r="G36" s="237" t="s">
        <v>4110</v>
      </c>
      <c r="H36" s="237" t="s">
        <v>4111</v>
      </c>
      <c r="I36" s="237" t="s">
        <v>21</v>
      </c>
      <c r="J36" s="237" t="s">
        <v>4112</v>
      </c>
      <c r="K36" s="240">
        <f>IF(COUNTIF(L36:AY36,"&lt;&gt;")=0,"",SUMPRODUCT(((Recommendations[ImplStatus]="Implemented")+(Recommendations[ImplStatus]="Compensated"))*ISNUMBER(MATCH(Recommendations[Id],L36:AY36,0)))/COUNTIF(L36:AY36,"&lt;&gt;"))</f>
        <v>0</v>
      </c>
      <c r="L36" s="243" t="s">
        <v>268</v>
      </c>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4113</v>
      </c>
      <c r="B37" s="237" t="s">
        <v>4114</v>
      </c>
      <c r="C37" s="237" t="s">
        <v>4115</v>
      </c>
      <c r="D37" s="237" t="s">
        <v>4116</v>
      </c>
      <c r="E37" s="237" t="s">
        <v>21</v>
      </c>
      <c r="F37" s="237" t="s">
        <v>4117</v>
      </c>
      <c r="G37" s="237" t="s">
        <v>4118</v>
      </c>
      <c r="H37" s="237" t="s">
        <v>4119</v>
      </c>
      <c r="I37" s="237" t="s">
        <v>21</v>
      </c>
      <c r="J37" s="237" t="s">
        <v>4120</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4121</v>
      </c>
      <c r="B38" s="237" t="s">
        <v>4122</v>
      </c>
      <c r="C38" s="237" t="s">
        <v>4123</v>
      </c>
      <c r="D38" s="237" t="s">
        <v>4124</v>
      </c>
      <c r="E38" s="237" t="s">
        <v>21</v>
      </c>
      <c r="F38" s="237" t="s">
        <v>4117</v>
      </c>
      <c r="G38" s="237" t="s">
        <v>4125</v>
      </c>
      <c r="H38" s="237" t="s">
        <v>4126</v>
      </c>
      <c r="I38" s="237" t="s">
        <v>4127</v>
      </c>
      <c r="J38" s="237" t="s">
        <v>4128</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1193</v>
      </c>
      <c r="B39" s="236" t="s">
        <v>4129</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4130</v>
      </c>
      <c r="B40" s="237" t="s">
        <v>4131</v>
      </c>
      <c r="C40" s="237" t="s">
        <v>4132</v>
      </c>
      <c r="D40" s="237" t="s">
        <v>4133</v>
      </c>
      <c r="E40" s="237" t="s">
        <v>21</v>
      </c>
      <c r="F40" s="237" t="s">
        <v>21</v>
      </c>
      <c r="G40" s="237" t="s">
        <v>21</v>
      </c>
      <c r="H40" s="237" t="s">
        <v>4134</v>
      </c>
      <c r="I40" s="237" t="s">
        <v>4135</v>
      </c>
      <c r="J40" s="237" t="s">
        <v>4136</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4137</v>
      </c>
      <c r="B41" s="237" t="s">
        <v>4138</v>
      </c>
      <c r="C41" s="237" t="s">
        <v>4139</v>
      </c>
      <c r="D41" s="237" t="s">
        <v>21</v>
      </c>
      <c r="E41" s="237" t="s">
        <v>21</v>
      </c>
      <c r="F41" s="237" t="s">
        <v>21</v>
      </c>
      <c r="G41" s="237" t="s">
        <v>21</v>
      </c>
      <c r="H41" s="237" t="s">
        <v>4140</v>
      </c>
      <c r="I41" s="237" t="s">
        <v>21</v>
      </c>
      <c r="J41" s="237" t="s">
        <v>4141</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4142</v>
      </c>
      <c r="B42" s="235" t="s">
        <v>4143</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1216</v>
      </c>
      <c r="B43" s="236" t="s">
        <v>4144</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4145</v>
      </c>
      <c r="B44" s="237" t="s">
        <v>4146</v>
      </c>
      <c r="C44" s="237" t="s">
        <v>4147</v>
      </c>
      <c r="D44" s="237" t="s">
        <v>4148</v>
      </c>
      <c r="E44" s="237" t="s">
        <v>3934</v>
      </c>
      <c r="F44" s="237" t="s">
        <v>21</v>
      </c>
      <c r="G44" s="237" t="s">
        <v>21</v>
      </c>
      <c r="H44" s="237" t="s">
        <v>4149</v>
      </c>
      <c r="I44" s="237" t="s">
        <v>21</v>
      </c>
      <c r="J44" s="237" t="s">
        <v>4150</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4151</v>
      </c>
      <c r="B45" s="237" t="s">
        <v>4152</v>
      </c>
      <c r="C45" s="237" t="s">
        <v>4153</v>
      </c>
      <c r="D45" s="237" t="s">
        <v>3940</v>
      </c>
      <c r="E45" s="237" t="s">
        <v>21</v>
      </c>
      <c r="F45" s="237" t="s">
        <v>3942</v>
      </c>
      <c r="G45" s="237" t="s">
        <v>21</v>
      </c>
      <c r="H45" s="237" t="s">
        <v>4154</v>
      </c>
      <c r="I45" s="237" t="s">
        <v>21</v>
      </c>
      <c r="J45" s="237" t="s">
        <v>4155</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1222</v>
      </c>
      <c r="B46" s="236" t="s">
        <v>4156</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4157</v>
      </c>
      <c r="B47" s="237" t="s">
        <v>4158</v>
      </c>
      <c r="C47" s="237" t="s">
        <v>4159</v>
      </c>
      <c r="D47" s="237" t="s">
        <v>4160</v>
      </c>
      <c r="E47" s="237" t="s">
        <v>21</v>
      </c>
      <c r="F47" s="237" t="s">
        <v>4161</v>
      </c>
      <c r="G47" s="237" t="s">
        <v>4162</v>
      </c>
      <c r="H47" s="237" t="s">
        <v>4163</v>
      </c>
      <c r="I47" s="237" t="s">
        <v>4164</v>
      </c>
      <c r="J47" s="237" t="s">
        <v>4165</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1226</v>
      </c>
      <c r="B48" s="236" t="s">
        <v>4166</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4167</v>
      </c>
      <c r="B49" s="237" t="s">
        <v>4168</v>
      </c>
      <c r="C49" s="237" t="s">
        <v>4169</v>
      </c>
      <c r="D49" s="237" t="s">
        <v>4170</v>
      </c>
      <c r="E49" s="237" t="s">
        <v>4171</v>
      </c>
      <c r="F49" s="237" t="s">
        <v>21</v>
      </c>
      <c r="G49" s="237" t="s">
        <v>21</v>
      </c>
      <c r="H49" s="237" t="s">
        <v>4172</v>
      </c>
      <c r="I49" s="237" t="s">
        <v>4173</v>
      </c>
      <c r="J49" s="237" t="s">
        <v>4174</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4175</v>
      </c>
      <c r="B50" s="237" t="s">
        <v>4176</v>
      </c>
      <c r="C50" s="237" t="s">
        <v>4177</v>
      </c>
      <c r="D50" s="237" t="s">
        <v>21</v>
      </c>
      <c r="E50" s="237" t="s">
        <v>4178</v>
      </c>
      <c r="F50" s="237" t="s">
        <v>4179</v>
      </c>
      <c r="G50" s="237" t="s">
        <v>21</v>
      </c>
      <c r="H50" s="237" t="s">
        <v>4172</v>
      </c>
      <c r="I50" s="237" t="s">
        <v>4180</v>
      </c>
      <c r="J50" s="237" t="s">
        <v>4181</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4182</v>
      </c>
      <c r="B51" s="237" t="s">
        <v>4183</v>
      </c>
      <c r="C51" s="237" t="s">
        <v>4184</v>
      </c>
      <c r="D51" s="237" t="s">
        <v>21</v>
      </c>
      <c r="E51" s="237" t="s">
        <v>21</v>
      </c>
      <c r="F51" s="237" t="s">
        <v>4185</v>
      </c>
      <c r="G51" s="237" t="s">
        <v>21</v>
      </c>
      <c r="H51" s="237" t="s">
        <v>4172</v>
      </c>
      <c r="I51" s="237" t="s">
        <v>4186</v>
      </c>
      <c r="J51" s="237" t="s">
        <v>4187</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4188</v>
      </c>
      <c r="B52" s="237" t="s">
        <v>4189</v>
      </c>
      <c r="C52" s="237" t="s">
        <v>4190</v>
      </c>
      <c r="D52" s="237" t="s">
        <v>21</v>
      </c>
      <c r="E52" s="237" t="s">
        <v>21</v>
      </c>
      <c r="F52" s="237" t="s">
        <v>4191</v>
      </c>
      <c r="G52" s="237" t="s">
        <v>21</v>
      </c>
      <c r="H52" s="237" t="s">
        <v>4172</v>
      </c>
      <c r="I52" s="237" t="s">
        <v>4192</v>
      </c>
      <c r="J52" s="237" t="s">
        <v>4193</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4194</v>
      </c>
      <c r="B53" s="237" t="s">
        <v>4195</v>
      </c>
      <c r="C53" s="237" t="s">
        <v>4196</v>
      </c>
      <c r="D53" s="237" t="s">
        <v>4197</v>
      </c>
      <c r="E53" s="237" t="s">
        <v>4198</v>
      </c>
      <c r="F53" s="237" t="s">
        <v>21</v>
      </c>
      <c r="G53" s="237" t="s">
        <v>21</v>
      </c>
      <c r="H53" s="237" t="s">
        <v>4199</v>
      </c>
      <c r="I53" s="237" t="s">
        <v>21</v>
      </c>
      <c r="J53" s="237" t="s">
        <v>4200</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4201</v>
      </c>
      <c r="B54" s="237" t="s">
        <v>4202</v>
      </c>
      <c r="C54" s="237" t="s">
        <v>4196</v>
      </c>
      <c r="D54" s="237" t="s">
        <v>4197</v>
      </c>
      <c r="E54" s="237" t="s">
        <v>21</v>
      </c>
      <c r="F54" s="237" t="s">
        <v>21</v>
      </c>
      <c r="G54" s="237" t="s">
        <v>21</v>
      </c>
      <c r="H54" s="237" t="s">
        <v>4203</v>
      </c>
      <c r="I54" s="237" t="s">
        <v>4204</v>
      </c>
      <c r="J54" s="237" t="s">
        <v>4205</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1230</v>
      </c>
      <c r="B55" s="236" t="s">
        <v>4206</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4207</v>
      </c>
      <c r="B56" s="237" t="s">
        <v>4208</v>
      </c>
      <c r="C56" s="237" t="s">
        <v>4209</v>
      </c>
      <c r="D56" s="237" t="s">
        <v>4210</v>
      </c>
      <c r="E56" s="237" t="s">
        <v>4211</v>
      </c>
      <c r="F56" s="237" t="s">
        <v>21</v>
      </c>
      <c r="G56" s="237" t="s">
        <v>4212</v>
      </c>
      <c r="H56" s="237" t="s">
        <v>21</v>
      </c>
      <c r="I56" s="237" t="s">
        <v>21</v>
      </c>
      <c r="J56" s="237" t="s">
        <v>4213</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4214</v>
      </c>
      <c r="B57" s="237" t="s">
        <v>4215</v>
      </c>
      <c r="C57" s="237" t="s">
        <v>4216</v>
      </c>
      <c r="D57" s="237" t="s">
        <v>4217</v>
      </c>
      <c r="E57" s="237" t="s">
        <v>4218</v>
      </c>
      <c r="F57" s="237" t="s">
        <v>21</v>
      </c>
      <c r="G57" s="237" t="s">
        <v>4219</v>
      </c>
      <c r="H57" s="237" t="s">
        <v>4220</v>
      </c>
      <c r="I57" s="237" t="s">
        <v>21</v>
      </c>
      <c r="J57" s="237" t="s">
        <v>4221</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1234</v>
      </c>
      <c r="B58" s="236" t="s">
        <v>4222</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4223</v>
      </c>
      <c r="B59" s="237" t="s">
        <v>4224</v>
      </c>
      <c r="C59" s="237" t="s">
        <v>4225</v>
      </c>
      <c r="D59" s="237" t="s">
        <v>4226</v>
      </c>
      <c r="E59" s="237" t="s">
        <v>21</v>
      </c>
      <c r="F59" s="237" t="s">
        <v>21</v>
      </c>
      <c r="G59" s="237" t="s">
        <v>4227</v>
      </c>
      <c r="H59" s="237" t="s">
        <v>4228</v>
      </c>
      <c r="I59" s="237" t="s">
        <v>4229</v>
      </c>
      <c r="J59" s="237" t="s">
        <v>4230</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4231</v>
      </c>
      <c r="B60" s="237" t="s">
        <v>4232</v>
      </c>
      <c r="C60" s="237" t="s">
        <v>4233</v>
      </c>
      <c r="D60" s="237" t="s">
        <v>21</v>
      </c>
      <c r="E60" s="237" t="s">
        <v>4234</v>
      </c>
      <c r="F60" s="237" t="s">
        <v>4235</v>
      </c>
      <c r="G60" s="237" t="s">
        <v>21</v>
      </c>
      <c r="H60" s="237" t="s">
        <v>4236</v>
      </c>
      <c r="I60" s="237" t="s">
        <v>4237</v>
      </c>
      <c r="J60" s="237" t="s">
        <v>4238</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4239</v>
      </c>
      <c r="B61" s="237" t="s">
        <v>4240</v>
      </c>
      <c r="C61" s="237" t="s">
        <v>4241</v>
      </c>
      <c r="D61" s="237" t="s">
        <v>21</v>
      </c>
      <c r="E61" s="237" t="s">
        <v>21</v>
      </c>
      <c r="F61" s="237" t="s">
        <v>21</v>
      </c>
      <c r="G61" s="237" t="s">
        <v>4242</v>
      </c>
      <c r="H61" s="237" t="s">
        <v>4243</v>
      </c>
      <c r="I61" s="237" t="s">
        <v>4244</v>
      </c>
      <c r="J61" s="237" t="s">
        <v>4245</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4246</v>
      </c>
      <c r="B62" s="237" t="s">
        <v>4247</v>
      </c>
      <c r="C62" s="237" t="s">
        <v>4248</v>
      </c>
      <c r="D62" s="237" t="s">
        <v>4249</v>
      </c>
      <c r="E62" s="237" t="s">
        <v>21</v>
      </c>
      <c r="F62" s="237" t="s">
        <v>21</v>
      </c>
      <c r="G62" s="237" t="s">
        <v>21</v>
      </c>
      <c r="H62" s="237" t="s">
        <v>4250</v>
      </c>
      <c r="I62" s="237" t="s">
        <v>4251</v>
      </c>
      <c r="J62" s="237" t="s">
        <v>4252</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1238</v>
      </c>
      <c r="B63" s="236" t="s">
        <v>4253</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4254</v>
      </c>
      <c r="B64" s="237" t="s">
        <v>4255</v>
      </c>
      <c r="C64" s="237" t="s">
        <v>4256</v>
      </c>
      <c r="D64" s="237" t="s">
        <v>4257</v>
      </c>
      <c r="E64" s="237" t="s">
        <v>21</v>
      </c>
      <c r="F64" s="237" t="s">
        <v>21</v>
      </c>
      <c r="G64" s="237" t="s">
        <v>4258</v>
      </c>
      <c r="H64" s="237" t="s">
        <v>4259</v>
      </c>
      <c r="I64" s="237" t="s">
        <v>4260</v>
      </c>
      <c r="J64" s="237" t="s">
        <v>4261</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4262</v>
      </c>
      <c r="B65" s="237" t="s">
        <v>4263</v>
      </c>
      <c r="C65" s="237" t="s">
        <v>4264</v>
      </c>
      <c r="D65" s="237" t="s">
        <v>4265</v>
      </c>
      <c r="E65" s="237" t="s">
        <v>21</v>
      </c>
      <c r="F65" s="237" t="s">
        <v>21</v>
      </c>
      <c r="G65" s="237" t="s">
        <v>21</v>
      </c>
      <c r="H65" s="237" t="s">
        <v>4266</v>
      </c>
      <c r="I65" s="237" t="s">
        <v>4267</v>
      </c>
      <c r="J65" s="237" t="s">
        <v>4268</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4269</v>
      </c>
      <c r="B66" s="237" t="s">
        <v>4270</v>
      </c>
      <c r="C66" s="237" t="s">
        <v>4271</v>
      </c>
      <c r="D66" s="237" t="s">
        <v>4272</v>
      </c>
      <c r="E66" s="237" t="s">
        <v>21</v>
      </c>
      <c r="F66" s="237" t="s">
        <v>21</v>
      </c>
      <c r="G66" s="237" t="s">
        <v>21</v>
      </c>
      <c r="H66" s="237" t="s">
        <v>4273</v>
      </c>
      <c r="I66" s="237" t="s">
        <v>4274</v>
      </c>
      <c r="J66" s="237" t="s">
        <v>4275</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4276</v>
      </c>
      <c r="B67" s="237" t="s">
        <v>4277</v>
      </c>
      <c r="C67" s="237" t="s">
        <v>4278</v>
      </c>
      <c r="D67" s="237" t="s">
        <v>4279</v>
      </c>
      <c r="E67" s="237" t="s">
        <v>21</v>
      </c>
      <c r="F67" s="237" t="s">
        <v>21</v>
      </c>
      <c r="G67" s="237" t="s">
        <v>21</v>
      </c>
      <c r="H67" s="237" t="s">
        <v>4280</v>
      </c>
      <c r="I67" s="237" t="s">
        <v>21</v>
      </c>
      <c r="J67" s="237" t="s">
        <v>4281</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4282</v>
      </c>
      <c r="B68" s="237" t="s">
        <v>4283</v>
      </c>
      <c r="C68" s="237" t="s">
        <v>4284</v>
      </c>
      <c r="D68" s="237" t="s">
        <v>21</v>
      </c>
      <c r="E68" s="237" t="s">
        <v>21</v>
      </c>
      <c r="F68" s="237" t="s">
        <v>21</v>
      </c>
      <c r="G68" s="237" t="s">
        <v>21</v>
      </c>
      <c r="H68" s="237" t="s">
        <v>4285</v>
      </c>
      <c r="I68" s="237" t="s">
        <v>21</v>
      </c>
      <c r="J68" s="237" t="s">
        <v>4286</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1242</v>
      </c>
      <c r="B69" s="236" t="s">
        <v>4287</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4288</v>
      </c>
      <c r="B70" s="237" t="s">
        <v>4289</v>
      </c>
      <c r="C70" s="237" t="s">
        <v>4290</v>
      </c>
      <c r="D70" s="237" t="s">
        <v>21</v>
      </c>
      <c r="E70" s="237" t="s">
        <v>21</v>
      </c>
      <c r="F70" s="237" t="s">
        <v>21</v>
      </c>
      <c r="G70" s="237" t="s">
        <v>4291</v>
      </c>
      <c r="H70" s="237" t="s">
        <v>4292</v>
      </c>
      <c r="I70" s="237" t="s">
        <v>21</v>
      </c>
      <c r="J70" s="237" t="s">
        <v>4293</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4294</v>
      </c>
      <c r="B71" s="237" t="s">
        <v>4295</v>
      </c>
      <c r="C71" s="237" t="s">
        <v>4296</v>
      </c>
      <c r="D71" s="237" t="s">
        <v>21</v>
      </c>
      <c r="E71" s="237" t="s">
        <v>21</v>
      </c>
      <c r="F71" s="237" t="s">
        <v>21</v>
      </c>
      <c r="G71" s="237" t="s">
        <v>21</v>
      </c>
      <c r="H71" s="237" t="s">
        <v>4297</v>
      </c>
      <c r="I71" s="237" t="s">
        <v>21</v>
      </c>
      <c r="J71" s="237" t="s">
        <v>4298</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4299</v>
      </c>
      <c r="B72" s="237" t="s">
        <v>4300</v>
      </c>
      <c r="C72" s="237" t="s">
        <v>4301</v>
      </c>
      <c r="D72" s="237" t="s">
        <v>4302</v>
      </c>
      <c r="E72" s="237" t="s">
        <v>4303</v>
      </c>
      <c r="F72" s="237" t="s">
        <v>21</v>
      </c>
      <c r="G72" s="237" t="s">
        <v>21</v>
      </c>
      <c r="H72" s="237" t="s">
        <v>4304</v>
      </c>
      <c r="I72" s="237" t="s">
        <v>21</v>
      </c>
      <c r="J72" s="237" t="s">
        <v>4305</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4306</v>
      </c>
      <c r="B73" s="237" t="s">
        <v>4307</v>
      </c>
      <c r="C73" s="237" t="s">
        <v>4308</v>
      </c>
      <c r="D73" s="237" t="s">
        <v>4309</v>
      </c>
      <c r="E73" s="237" t="s">
        <v>4303</v>
      </c>
      <c r="F73" s="237" t="s">
        <v>21</v>
      </c>
      <c r="G73" s="237" t="s">
        <v>4310</v>
      </c>
      <c r="H73" s="237" t="s">
        <v>4311</v>
      </c>
      <c r="I73" s="237" t="s">
        <v>21</v>
      </c>
      <c r="J73" s="237" t="s">
        <v>4312</v>
      </c>
      <c r="K73" s="240">
        <f>IF(COUNTIF(L73:AY73,"&lt;&gt;")=0,"",SUMPRODUCT(((Recommendations[ImplStatus]="Implemented")+(Recommendations[ImplStatus]="Compensated"))*ISNUMBER(MATCH(Recommendations[Id],L73:AY73,0)))/COUNTIF(L73:AY73,"&lt;&gt;"))</f>
        <v>0</v>
      </c>
      <c r="L73" s="243" t="s">
        <v>659</v>
      </c>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4313</v>
      </c>
      <c r="B74" s="237" t="s">
        <v>4314</v>
      </c>
      <c r="C74" s="237" t="s">
        <v>4315</v>
      </c>
      <c r="D74" s="237" t="s">
        <v>4309</v>
      </c>
      <c r="E74" s="237" t="s">
        <v>4316</v>
      </c>
      <c r="F74" s="237" t="s">
        <v>21</v>
      </c>
      <c r="G74" s="237" t="s">
        <v>4317</v>
      </c>
      <c r="H74" s="237" t="s">
        <v>4318</v>
      </c>
      <c r="I74" s="237" t="s">
        <v>4319</v>
      </c>
      <c r="J74" s="237" t="s">
        <v>4320</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4321</v>
      </c>
      <c r="B75" s="237" t="s">
        <v>4322</v>
      </c>
      <c r="C75" s="237" t="s">
        <v>4323</v>
      </c>
      <c r="D75" s="237" t="s">
        <v>4324</v>
      </c>
      <c r="E75" s="237" t="s">
        <v>4316</v>
      </c>
      <c r="F75" s="237" t="s">
        <v>4325</v>
      </c>
      <c r="G75" s="237" t="s">
        <v>4326</v>
      </c>
      <c r="H75" s="237" t="s">
        <v>4327</v>
      </c>
      <c r="I75" s="237" t="s">
        <v>4328</v>
      </c>
      <c r="J75" s="237" t="s">
        <v>4329</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4330</v>
      </c>
      <c r="B76" s="237" t="s">
        <v>4331</v>
      </c>
      <c r="C76" s="237" t="s">
        <v>4332</v>
      </c>
      <c r="D76" s="237" t="s">
        <v>4333</v>
      </c>
      <c r="E76" s="237" t="s">
        <v>21</v>
      </c>
      <c r="F76" s="237" t="s">
        <v>21</v>
      </c>
      <c r="G76" s="237" t="s">
        <v>21</v>
      </c>
      <c r="H76" s="237" t="s">
        <v>4334</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4335</v>
      </c>
      <c r="B77" s="237" t="s">
        <v>4336</v>
      </c>
      <c r="C77" s="237" t="s">
        <v>4337</v>
      </c>
      <c r="D77" s="237" t="s">
        <v>21</v>
      </c>
      <c r="E77" s="237" t="s">
        <v>21</v>
      </c>
      <c r="F77" s="237" t="s">
        <v>21</v>
      </c>
      <c r="G77" s="237" t="s">
        <v>4338</v>
      </c>
      <c r="H77" s="237" t="s">
        <v>4339</v>
      </c>
      <c r="I77" s="237" t="s">
        <v>21</v>
      </c>
      <c r="J77" s="237" t="s">
        <v>4340</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4341</v>
      </c>
      <c r="B78" s="237" t="s">
        <v>4342</v>
      </c>
      <c r="C78" s="237" t="s">
        <v>4343</v>
      </c>
      <c r="D78" s="237" t="s">
        <v>21</v>
      </c>
      <c r="E78" s="237" t="s">
        <v>21</v>
      </c>
      <c r="F78" s="237" t="s">
        <v>21</v>
      </c>
      <c r="G78" s="237" t="s">
        <v>4344</v>
      </c>
      <c r="H78" s="237" t="s">
        <v>4345</v>
      </c>
      <c r="I78" s="237" t="s">
        <v>4346</v>
      </c>
      <c r="J78" s="237" t="s">
        <v>4347</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4348</v>
      </c>
      <c r="B79" s="235" t="s">
        <v>4349</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1276</v>
      </c>
      <c r="B80" s="236" t="s">
        <v>4350</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4351</v>
      </c>
      <c r="B81" s="237" t="s">
        <v>4352</v>
      </c>
      <c r="C81" s="237" t="s">
        <v>4353</v>
      </c>
      <c r="D81" s="237" t="s">
        <v>4148</v>
      </c>
      <c r="E81" s="237" t="s">
        <v>4354</v>
      </c>
      <c r="F81" s="237" t="s">
        <v>21</v>
      </c>
      <c r="G81" s="237" t="s">
        <v>21</v>
      </c>
      <c r="H81" s="237" t="s">
        <v>4355</v>
      </c>
      <c r="I81" s="237" t="s">
        <v>21</v>
      </c>
      <c r="J81" s="237" t="s">
        <v>4356</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4357</v>
      </c>
      <c r="B82" s="237" t="s">
        <v>4358</v>
      </c>
      <c r="C82" s="237" t="s">
        <v>3939</v>
      </c>
      <c r="D82" s="237" t="s">
        <v>3940</v>
      </c>
      <c r="E82" s="237" t="s">
        <v>21</v>
      </c>
      <c r="F82" s="237" t="s">
        <v>3942</v>
      </c>
      <c r="G82" s="237" t="s">
        <v>21</v>
      </c>
      <c r="H82" s="237" t="s">
        <v>4359</v>
      </c>
      <c r="I82" s="237" t="s">
        <v>21</v>
      </c>
      <c r="J82" s="237" t="s">
        <v>4360</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1281</v>
      </c>
      <c r="B83" s="236" t="s">
        <v>4361</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4362</v>
      </c>
      <c r="B84" s="237" t="s">
        <v>4363</v>
      </c>
      <c r="C84" s="237" t="s">
        <v>4364</v>
      </c>
      <c r="D84" s="237" t="s">
        <v>4365</v>
      </c>
      <c r="E84" s="237" t="s">
        <v>21</v>
      </c>
      <c r="F84" s="237" t="s">
        <v>4366</v>
      </c>
      <c r="G84" s="237" t="s">
        <v>4367</v>
      </c>
      <c r="H84" s="237" t="s">
        <v>4368</v>
      </c>
      <c r="I84" s="237" t="s">
        <v>4369</v>
      </c>
      <c r="J84" s="237" t="s">
        <v>4370</v>
      </c>
      <c r="K84" s="240">
        <f>IF(COUNTIF(L84:AY84,"&lt;&gt;")=0,"",SUMPRODUCT(((Recommendations[ImplStatus]="Implemented")+(Recommendations[ImplStatus]="Compensated"))*ISNUMBER(MATCH(Recommendations[Id],L84:AY84,0)))/COUNTIF(L84:AY84,"&lt;&gt;"))</f>
        <v>0</v>
      </c>
      <c r="L84" s="243" t="s">
        <v>63</v>
      </c>
      <c r="M84" s="243" t="s">
        <v>99</v>
      </c>
      <c r="N84" s="243" t="s">
        <v>465</v>
      </c>
      <c r="O84" s="243" t="s">
        <v>614</v>
      </c>
      <c r="P84" s="243" t="s">
        <v>669</v>
      </c>
      <c r="Q84" s="243" t="s">
        <v>855</v>
      </c>
      <c r="R84" s="243" t="s">
        <v>860</v>
      </c>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4371</v>
      </c>
      <c r="B85" s="237" t="s">
        <v>4372</v>
      </c>
      <c r="C85" s="237" t="s">
        <v>4373</v>
      </c>
      <c r="D85" s="237" t="s">
        <v>4374</v>
      </c>
      <c r="E85" s="237" t="s">
        <v>21</v>
      </c>
      <c r="F85" s="237" t="s">
        <v>21</v>
      </c>
      <c r="G85" s="237" t="s">
        <v>21</v>
      </c>
      <c r="H85" s="237" t="s">
        <v>4375</v>
      </c>
      <c r="I85" s="237" t="s">
        <v>4376</v>
      </c>
      <c r="J85" s="237" t="s">
        <v>4377</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4378</v>
      </c>
      <c r="B86" s="237" t="s">
        <v>4379</v>
      </c>
      <c r="C86" s="237" t="s">
        <v>4380</v>
      </c>
      <c r="D86" s="237" t="s">
        <v>4381</v>
      </c>
      <c r="E86" s="237" t="s">
        <v>21</v>
      </c>
      <c r="F86" s="237" t="s">
        <v>21</v>
      </c>
      <c r="G86" s="237" t="s">
        <v>4382</v>
      </c>
      <c r="H86" s="237" t="s">
        <v>4383</v>
      </c>
      <c r="I86" s="237" t="s">
        <v>21</v>
      </c>
      <c r="J86" s="237" t="s">
        <v>4384</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4385</v>
      </c>
      <c r="B87" s="237" t="s">
        <v>4386</v>
      </c>
      <c r="C87" s="237" t="s">
        <v>4387</v>
      </c>
      <c r="D87" s="237" t="s">
        <v>4388</v>
      </c>
      <c r="E87" s="237" t="s">
        <v>21</v>
      </c>
      <c r="F87" s="237" t="s">
        <v>4389</v>
      </c>
      <c r="G87" s="237" t="s">
        <v>21</v>
      </c>
      <c r="H87" s="237" t="s">
        <v>4390</v>
      </c>
      <c r="I87" s="237" t="s">
        <v>4391</v>
      </c>
      <c r="J87" s="237" t="s">
        <v>4392</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4393</v>
      </c>
      <c r="B88" s="235" t="s">
        <v>4394</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1328</v>
      </c>
      <c r="B89" s="236" t="s">
        <v>4395</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4396</v>
      </c>
      <c r="B90" s="237" t="s">
        <v>4397</v>
      </c>
      <c r="C90" s="237" t="s">
        <v>4398</v>
      </c>
      <c r="D90" s="237" t="s">
        <v>4148</v>
      </c>
      <c r="E90" s="237" t="s">
        <v>3934</v>
      </c>
      <c r="F90" s="237" t="s">
        <v>21</v>
      </c>
      <c r="G90" s="237" t="s">
        <v>21</v>
      </c>
      <c r="H90" s="237" t="s">
        <v>4399</v>
      </c>
      <c r="I90" s="237" t="s">
        <v>21</v>
      </c>
      <c r="J90" s="237" t="s">
        <v>4400</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4401</v>
      </c>
      <c r="B91" s="237" t="s">
        <v>4402</v>
      </c>
      <c r="C91" s="237" t="s">
        <v>4403</v>
      </c>
      <c r="D91" s="237" t="s">
        <v>3940</v>
      </c>
      <c r="E91" s="237" t="s">
        <v>21</v>
      </c>
      <c r="F91" s="237" t="s">
        <v>3942</v>
      </c>
      <c r="G91" s="237" t="s">
        <v>21</v>
      </c>
      <c r="H91" s="237" t="s">
        <v>4404</v>
      </c>
      <c r="I91" s="237" t="s">
        <v>21</v>
      </c>
      <c r="J91" s="237" t="s">
        <v>4405</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1332</v>
      </c>
      <c r="B92" s="236" t="s">
        <v>4406</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4407</v>
      </c>
      <c r="B93" s="237" t="s">
        <v>4408</v>
      </c>
      <c r="C93" s="237" t="s">
        <v>4409</v>
      </c>
      <c r="D93" s="237" t="s">
        <v>4410</v>
      </c>
      <c r="E93" s="237" t="s">
        <v>4411</v>
      </c>
      <c r="F93" s="237" t="s">
        <v>21</v>
      </c>
      <c r="G93" s="237" t="s">
        <v>21</v>
      </c>
      <c r="H93" s="237" t="s">
        <v>4412</v>
      </c>
      <c r="I93" s="237" t="s">
        <v>21</v>
      </c>
      <c r="J93" s="237" t="s">
        <v>4413</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4414</v>
      </c>
      <c r="B94" s="237" t="s">
        <v>4415</v>
      </c>
      <c r="C94" s="237" t="s">
        <v>4416</v>
      </c>
      <c r="D94" s="237" t="s">
        <v>4417</v>
      </c>
      <c r="E94" s="237" t="s">
        <v>21</v>
      </c>
      <c r="F94" s="237" t="s">
        <v>4418</v>
      </c>
      <c r="G94" s="237" t="s">
        <v>21</v>
      </c>
      <c r="H94" s="237" t="s">
        <v>4419</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4420</v>
      </c>
      <c r="B95" s="237" t="s">
        <v>4421</v>
      </c>
      <c r="C95" s="237" t="s">
        <v>4422</v>
      </c>
      <c r="D95" s="237" t="s">
        <v>4423</v>
      </c>
      <c r="E95" s="237" t="s">
        <v>21</v>
      </c>
      <c r="F95" s="237" t="s">
        <v>21</v>
      </c>
      <c r="G95" s="237" t="s">
        <v>21</v>
      </c>
      <c r="H95" s="237" t="s">
        <v>4424</v>
      </c>
      <c r="I95" s="237" t="s">
        <v>4425</v>
      </c>
      <c r="J95" s="237" t="s">
        <v>4426</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4427</v>
      </c>
      <c r="B96" s="237" t="s">
        <v>4428</v>
      </c>
      <c r="C96" s="237" t="s">
        <v>4429</v>
      </c>
      <c r="D96" s="237" t="s">
        <v>21</v>
      </c>
      <c r="E96" s="237" t="s">
        <v>21</v>
      </c>
      <c r="F96" s="237" t="s">
        <v>21</v>
      </c>
      <c r="G96" s="237" t="s">
        <v>21</v>
      </c>
      <c r="H96" s="237" t="s">
        <v>4430</v>
      </c>
      <c r="I96" s="237" t="s">
        <v>4376</v>
      </c>
      <c r="J96" s="237" t="s">
        <v>4431</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1336</v>
      </c>
      <c r="B97" s="236" t="s">
        <v>4432</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4433</v>
      </c>
      <c r="B98" s="237" t="s">
        <v>4434</v>
      </c>
      <c r="C98" s="237" t="s">
        <v>4435</v>
      </c>
      <c r="D98" s="237" t="s">
        <v>4436</v>
      </c>
      <c r="E98" s="237" t="s">
        <v>21</v>
      </c>
      <c r="F98" s="237" t="s">
        <v>21</v>
      </c>
      <c r="G98" s="237" t="s">
        <v>21</v>
      </c>
      <c r="H98" s="237" t="s">
        <v>4437</v>
      </c>
      <c r="I98" s="237" t="s">
        <v>21</v>
      </c>
      <c r="J98" s="237" t="s">
        <v>4438</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4439</v>
      </c>
      <c r="B99" s="237" t="s">
        <v>4440</v>
      </c>
      <c r="C99" s="237" t="s">
        <v>4441</v>
      </c>
      <c r="D99" s="237" t="s">
        <v>4442</v>
      </c>
      <c r="E99" s="237" t="s">
        <v>4443</v>
      </c>
      <c r="F99" s="237" t="s">
        <v>21</v>
      </c>
      <c r="G99" s="237" t="s">
        <v>21</v>
      </c>
      <c r="H99" s="237" t="s">
        <v>4444</v>
      </c>
      <c r="I99" s="237" t="s">
        <v>21</v>
      </c>
      <c r="J99" s="237" t="s">
        <v>4445</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4446</v>
      </c>
      <c r="B100" s="237" t="s">
        <v>4447</v>
      </c>
      <c r="C100" s="237" t="s">
        <v>4448</v>
      </c>
      <c r="D100" s="237" t="s">
        <v>21</v>
      </c>
      <c r="E100" s="237" t="s">
        <v>21</v>
      </c>
      <c r="F100" s="237" t="s">
        <v>21</v>
      </c>
      <c r="G100" s="237" t="s">
        <v>21</v>
      </c>
      <c r="H100" s="237" t="s">
        <v>4449</v>
      </c>
      <c r="I100" s="237" t="s">
        <v>4450</v>
      </c>
      <c r="J100" s="237" t="s">
        <v>4451</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4452</v>
      </c>
      <c r="B101" s="237" t="s">
        <v>4453</v>
      </c>
      <c r="C101" s="237" t="s">
        <v>4454</v>
      </c>
      <c r="D101" s="237" t="s">
        <v>21</v>
      </c>
      <c r="E101" s="237" t="s">
        <v>21</v>
      </c>
      <c r="F101" s="237" t="s">
        <v>21</v>
      </c>
      <c r="G101" s="237" t="s">
        <v>21</v>
      </c>
      <c r="H101" s="237" t="s">
        <v>4455</v>
      </c>
      <c r="I101" s="237" t="s">
        <v>4376</v>
      </c>
      <c r="J101" s="237" t="s">
        <v>4456</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4457</v>
      </c>
      <c r="B102" s="237" t="s">
        <v>4458</v>
      </c>
      <c r="C102" s="237" t="s">
        <v>4459</v>
      </c>
      <c r="D102" s="237" t="s">
        <v>4460</v>
      </c>
      <c r="E102" s="237" t="s">
        <v>21</v>
      </c>
      <c r="F102" s="237" t="s">
        <v>21</v>
      </c>
      <c r="G102" s="237" t="s">
        <v>21</v>
      </c>
      <c r="H102" s="237" t="s">
        <v>4461</v>
      </c>
      <c r="I102" s="237" t="s">
        <v>21</v>
      </c>
      <c r="J102" s="237" t="s">
        <v>4462</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4463</v>
      </c>
      <c r="B103" s="237" t="s">
        <v>4464</v>
      </c>
      <c r="C103" s="237" t="s">
        <v>4465</v>
      </c>
      <c r="D103" s="237" t="s">
        <v>4460</v>
      </c>
      <c r="E103" s="237" t="s">
        <v>21</v>
      </c>
      <c r="F103" s="237" t="s">
        <v>4466</v>
      </c>
      <c r="G103" s="237" t="s">
        <v>21</v>
      </c>
      <c r="H103" s="237" t="s">
        <v>4467</v>
      </c>
      <c r="I103" s="237" t="s">
        <v>4468</v>
      </c>
      <c r="J103" s="237" t="s">
        <v>4469</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1340</v>
      </c>
      <c r="B104" s="236" t="s">
        <v>4470</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4471</v>
      </c>
      <c r="B105" s="237" t="s">
        <v>4472</v>
      </c>
      <c r="C105" s="237" t="s">
        <v>4473</v>
      </c>
      <c r="D105" s="237" t="s">
        <v>4474</v>
      </c>
      <c r="E105" s="237" t="s">
        <v>4475</v>
      </c>
      <c r="F105" s="237" t="s">
        <v>21</v>
      </c>
      <c r="G105" s="237" t="s">
        <v>21</v>
      </c>
      <c r="H105" s="237" t="s">
        <v>4476</v>
      </c>
      <c r="I105" s="237" t="s">
        <v>4477</v>
      </c>
      <c r="J105" s="237" t="s">
        <v>4478</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4479</v>
      </c>
      <c r="B106" s="235" t="s">
        <v>4480</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1354</v>
      </c>
      <c r="B107" s="236" t="s">
        <v>4481</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4482</v>
      </c>
      <c r="B108" s="237" t="s">
        <v>4483</v>
      </c>
      <c r="C108" s="237" t="s">
        <v>4484</v>
      </c>
      <c r="D108" s="237" t="s">
        <v>4148</v>
      </c>
      <c r="E108" s="237" t="s">
        <v>3934</v>
      </c>
      <c r="F108" s="237" t="s">
        <v>21</v>
      </c>
      <c r="G108" s="237" t="s">
        <v>21</v>
      </c>
      <c r="H108" s="237" t="s">
        <v>4485</v>
      </c>
      <c r="I108" s="237" t="s">
        <v>21</v>
      </c>
      <c r="J108" s="237" t="s">
        <v>4486</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4487</v>
      </c>
      <c r="B109" s="237" t="s">
        <v>4488</v>
      </c>
      <c r="C109" s="237" t="s">
        <v>4489</v>
      </c>
      <c r="D109" s="237" t="s">
        <v>3940</v>
      </c>
      <c r="E109" s="237" t="s">
        <v>21</v>
      </c>
      <c r="F109" s="237" t="s">
        <v>3942</v>
      </c>
      <c r="G109" s="237" t="s">
        <v>21</v>
      </c>
      <c r="H109" s="237" t="s">
        <v>4490</v>
      </c>
      <c r="I109" s="237" t="s">
        <v>21</v>
      </c>
      <c r="J109" s="237" t="s">
        <v>4491</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1358</v>
      </c>
      <c r="B110" s="236" t="s">
        <v>4492</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4493</v>
      </c>
      <c r="B111" s="237" t="s">
        <v>4494</v>
      </c>
      <c r="C111" s="237" t="s">
        <v>4495</v>
      </c>
      <c r="D111" s="237" t="s">
        <v>4496</v>
      </c>
      <c r="E111" s="237" t="s">
        <v>21</v>
      </c>
      <c r="F111" s="237" t="s">
        <v>4497</v>
      </c>
      <c r="G111" s="237" t="s">
        <v>21</v>
      </c>
      <c r="H111" s="237" t="s">
        <v>4498</v>
      </c>
      <c r="I111" s="237" t="s">
        <v>4499</v>
      </c>
      <c r="J111" s="237" t="s">
        <v>4500</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4501</v>
      </c>
      <c r="B112" s="237" t="s">
        <v>4502</v>
      </c>
      <c r="C112" s="237" t="s">
        <v>4503</v>
      </c>
      <c r="D112" s="237" t="s">
        <v>4504</v>
      </c>
      <c r="E112" s="237" t="s">
        <v>21</v>
      </c>
      <c r="F112" s="237" t="s">
        <v>21</v>
      </c>
      <c r="G112" s="237" t="s">
        <v>21</v>
      </c>
      <c r="H112" s="237" t="s">
        <v>4505</v>
      </c>
      <c r="I112" s="237" t="s">
        <v>21</v>
      </c>
      <c r="J112" s="237" t="s">
        <v>4506</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4507</v>
      </c>
      <c r="B113" s="237" t="s">
        <v>4508</v>
      </c>
      <c r="C113" s="237" t="s">
        <v>4509</v>
      </c>
      <c r="D113" s="237" t="s">
        <v>4510</v>
      </c>
      <c r="E113" s="237" t="s">
        <v>21</v>
      </c>
      <c r="F113" s="237" t="s">
        <v>21</v>
      </c>
      <c r="G113" s="237" t="s">
        <v>21</v>
      </c>
      <c r="H113" s="237" t="s">
        <v>4511</v>
      </c>
      <c r="I113" s="237" t="s">
        <v>4512</v>
      </c>
      <c r="J113" s="237" t="s">
        <v>4513</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4514</v>
      </c>
      <c r="B114" s="237" t="s">
        <v>4515</v>
      </c>
      <c r="C114" s="237" t="s">
        <v>4516</v>
      </c>
      <c r="D114" s="237" t="s">
        <v>4517</v>
      </c>
      <c r="E114" s="237" t="s">
        <v>21</v>
      </c>
      <c r="F114" s="237" t="s">
        <v>21</v>
      </c>
      <c r="G114" s="237" t="s">
        <v>4518</v>
      </c>
      <c r="H114" s="237" t="s">
        <v>4519</v>
      </c>
      <c r="I114" s="237" t="s">
        <v>4520</v>
      </c>
      <c r="J114" s="237" t="s">
        <v>4521</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4522</v>
      </c>
      <c r="B115" s="237" t="s">
        <v>4523</v>
      </c>
      <c r="C115" s="237" t="s">
        <v>4524</v>
      </c>
      <c r="D115" s="237" t="s">
        <v>4525</v>
      </c>
      <c r="E115" s="237" t="s">
        <v>21</v>
      </c>
      <c r="F115" s="237" t="s">
        <v>4526</v>
      </c>
      <c r="G115" s="237" t="s">
        <v>21</v>
      </c>
      <c r="H115" s="237" t="s">
        <v>4527</v>
      </c>
      <c r="I115" s="237" t="s">
        <v>4527</v>
      </c>
      <c r="J115" s="237" t="s">
        <v>4528</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1362</v>
      </c>
      <c r="B116" s="236" t="s">
        <v>4529</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4530</v>
      </c>
      <c r="B117" s="237" t="s">
        <v>4531</v>
      </c>
      <c r="C117" s="237" t="s">
        <v>4532</v>
      </c>
      <c r="D117" s="237" t="s">
        <v>4533</v>
      </c>
      <c r="E117" s="237" t="s">
        <v>21</v>
      </c>
      <c r="F117" s="237" t="s">
        <v>4534</v>
      </c>
      <c r="G117" s="237" t="s">
        <v>4535</v>
      </c>
      <c r="H117" s="237" t="s">
        <v>4536</v>
      </c>
      <c r="I117" s="237" t="s">
        <v>4537</v>
      </c>
      <c r="J117" s="237" t="s">
        <v>4538</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4539</v>
      </c>
      <c r="B118" s="237" t="s">
        <v>4540</v>
      </c>
      <c r="C118" s="237" t="s">
        <v>4541</v>
      </c>
      <c r="D118" s="237" t="s">
        <v>4542</v>
      </c>
      <c r="E118" s="237" t="s">
        <v>21</v>
      </c>
      <c r="F118" s="237" t="s">
        <v>21</v>
      </c>
      <c r="G118" s="237" t="s">
        <v>21</v>
      </c>
      <c r="H118" s="237" t="s">
        <v>4543</v>
      </c>
      <c r="I118" s="237" t="s">
        <v>4376</v>
      </c>
      <c r="J118" s="237" t="s">
        <v>4544</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4545</v>
      </c>
      <c r="B119" s="237" t="s">
        <v>4546</v>
      </c>
      <c r="C119" s="237" t="s">
        <v>4547</v>
      </c>
      <c r="D119" s="237" t="s">
        <v>4548</v>
      </c>
      <c r="E119" s="237" t="s">
        <v>21</v>
      </c>
      <c r="F119" s="237" t="s">
        <v>4549</v>
      </c>
      <c r="G119" s="237" t="s">
        <v>21</v>
      </c>
      <c r="H119" s="237" t="s">
        <v>4550</v>
      </c>
      <c r="I119" s="237" t="s">
        <v>4551</v>
      </c>
      <c r="J119" s="237" t="s">
        <v>4552</v>
      </c>
      <c r="K119" s="240">
        <f>IF(COUNTIF(L119:AY119,"&lt;&gt;")=0,"",SUMPRODUCT(((Recommendations[ImplStatus]="Implemented")+(Recommendations[ImplStatus]="Compensated"))*ISNUMBER(MATCH(Recommendations[Id],L119:AY119,0)))/COUNTIF(L119:AY119,"&lt;&gt;"))</f>
        <v>0</v>
      </c>
      <c r="L119" s="243" t="s">
        <v>358</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1366</v>
      </c>
      <c r="B120" s="236" t="s">
        <v>4553</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4554</v>
      </c>
      <c r="B121" s="237" t="s">
        <v>4555</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4556</v>
      </c>
      <c r="B122" s="237" t="s">
        <v>4557</v>
      </c>
      <c r="C122" s="237" t="s">
        <v>4558</v>
      </c>
      <c r="D122" s="237" t="s">
        <v>4559</v>
      </c>
      <c r="E122" s="237" t="s">
        <v>21</v>
      </c>
      <c r="F122" s="237" t="s">
        <v>4560</v>
      </c>
      <c r="G122" s="237" t="s">
        <v>21</v>
      </c>
      <c r="H122" s="237" t="s">
        <v>4561</v>
      </c>
      <c r="I122" s="237" t="s">
        <v>4562</v>
      </c>
      <c r="J122" s="237" t="s">
        <v>4563</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4564</v>
      </c>
      <c r="B123" s="237" t="s">
        <v>4565</v>
      </c>
      <c r="C123" s="237" t="s">
        <v>4566</v>
      </c>
      <c r="D123" s="237" t="s">
        <v>4567</v>
      </c>
      <c r="E123" s="237" t="s">
        <v>21</v>
      </c>
      <c r="F123" s="237" t="s">
        <v>4568</v>
      </c>
      <c r="G123" s="237" t="s">
        <v>21</v>
      </c>
      <c r="H123" s="237" t="s">
        <v>4569</v>
      </c>
      <c r="I123" s="237" t="s">
        <v>21</v>
      </c>
      <c r="J123" s="237" t="s">
        <v>4570</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1370</v>
      </c>
      <c r="B124" s="236" t="s">
        <v>4571</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4572</v>
      </c>
      <c r="B125" s="237" t="s">
        <v>4573</v>
      </c>
      <c r="C125" s="237" t="s">
        <v>4574</v>
      </c>
      <c r="D125" s="237" t="s">
        <v>4575</v>
      </c>
      <c r="E125" s="237" t="s">
        <v>21</v>
      </c>
      <c r="F125" s="237" t="s">
        <v>21</v>
      </c>
      <c r="G125" s="237" t="s">
        <v>21</v>
      </c>
      <c r="H125" s="237" t="s">
        <v>4576</v>
      </c>
      <c r="I125" s="237" t="s">
        <v>21</v>
      </c>
      <c r="J125" s="237" t="s">
        <v>4577</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4578</v>
      </c>
      <c r="B126" s="237" t="s">
        <v>4579</v>
      </c>
      <c r="C126" s="237" t="s">
        <v>4580</v>
      </c>
      <c r="D126" s="237" t="s">
        <v>4581</v>
      </c>
      <c r="E126" s="237" t="s">
        <v>21</v>
      </c>
      <c r="F126" s="237" t="s">
        <v>4582</v>
      </c>
      <c r="G126" s="237" t="s">
        <v>21</v>
      </c>
      <c r="H126" s="237" t="s">
        <v>4583</v>
      </c>
      <c r="I126" s="237" t="s">
        <v>4584</v>
      </c>
      <c r="J126" s="237" t="s">
        <v>4585</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4586</v>
      </c>
      <c r="B127" s="237" t="s">
        <v>4587</v>
      </c>
      <c r="C127" s="237" t="s">
        <v>4588</v>
      </c>
      <c r="D127" s="237" t="s">
        <v>4589</v>
      </c>
      <c r="E127" s="237" t="s">
        <v>4590</v>
      </c>
      <c r="F127" s="237" t="s">
        <v>21</v>
      </c>
      <c r="G127" s="237" t="s">
        <v>21</v>
      </c>
      <c r="H127" s="237" t="s">
        <v>4591</v>
      </c>
      <c r="I127" s="237" t="s">
        <v>21</v>
      </c>
      <c r="J127" s="237" t="s">
        <v>4592</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4593</v>
      </c>
      <c r="B128" s="237" t="s">
        <v>4594</v>
      </c>
      <c r="C128" s="237" t="s">
        <v>4595</v>
      </c>
      <c r="D128" s="237" t="s">
        <v>21</v>
      </c>
      <c r="E128" s="237" t="s">
        <v>21</v>
      </c>
      <c r="F128" s="237" t="s">
        <v>21</v>
      </c>
      <c r="G128" s="237" t="s">
        <v>21</v>
      </c>
      <c r="H128" s="237" t="s">
        <v>4596</v>
      </c>
      <c r="I128" s="237" t="s">
        <v>4597</v>
      </c>
      <c r="J128" s="237" t="s">
        <v>4598</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4599</v>
      </c>
      <c r="B129" s="237" t="s">
        <v>4600</v>
      </c>
      <c r="C129" s="237" t="s">
        <v>4601</v>
      </c>
      <c r="D129" s="237" t="s">
        <v>21</v>
      </c>
      <c r="E129" s="237" t="s">
        <v>4602</v>
      </c>
      <c r="F129" s="237" t="s">
        <v>21</v>
      </c>
      <c r="G129" s="237" t="s">
        <v>21</v>
      </c>
      <c r="H129" s="237" t="s">
        <v>4603</v>
      </c>
      <c r="I129" s="237" t="s">
        <v>21</v>
      </c>
      <c r="J129" s="237" t="s">
        <v>4604</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4605</v>
      </c>
      <c r="B130" s="237" t="s">
        <v>4606</v>
      </c>
      <c r="C130" s="237" t="s">
        <v>4607</v>
      </c>
      <c r="D130" s="237" t="s">
        <v>21</v>
      </c>
      <c r="E130" s="237" t="s">
        <v>21</v>
      </c>
      <c r="F130" s="237" t="s">
        <v>21</v>
      </c>
      <c r="G130" s="237" t="s">
        <v>21</v>
      </c>
      <c r="H130" s="237" t="s">
        <v>4608</v>
      </c>
      <c r="I130" s="237" t="s">
        <v>21</v>
      </c>
      <c r="J130" s="237" t="s">
        <v>4609</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4610</v>
      </c>
      <c r="B131" s="235" t="s">
        <v>4611</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1388</v>
      </c>
      <c r="B132" s="236" t="s">
        <v>4612</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4613</v>
      </c>
      <c r="B133" s="237" t="s">
        <v>4614</v>
      </c>
      <c r="C133" s="237" t="s">
        <v>4615</v>
      </c>
      <c r="D133" s="237" t="s">
        <v>4148</v>
      </c>
      <c r="E133" s="237" t="s">
        <v>3934</v>
      </c>
      <c r="F133" s="237" t="s">
        <v>21</v>
      </c>
      <c r="G133" s="237" t="s">
        <v>21</v>
      </c>
      <c r="H133" s="237" t="s">
        <v>4616</v>
      </c>
      <c r="I133" s="237" t="s">
        <v>21</v>
      </c>
      <c r="J133" s="237" t="s">
        <v>4617</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4618</v>
      </c>
      <c r="B134" s="237" t="s">
        <v>4619</v>
      </c>
      <c r="C134" s="237" t="s">
        <v>4153</v>
      </c>
      <c r="D134" s="237" t="s">
        <v>3940</v>
      </c>
      <c r="E134" s="237" t="s">
        <v>21</v>
      </c>
      <c r="F134" s="237" t="s">
        <v>3942</v>
      </c>
      <c r="G134" s="237" t="s">
        <v>21</v>
      </c>
      <c r="H134" s="237" t="s">
        <v>4620</v>
      </c>
      <c r="I134" s="237" t="s">
        <v>21</v>
      </c>
      <c r="J134" s="237" t="s">
        <v>4621</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1392</v>
      </c>
      <c r="B135" s="236" t="s">
        <v>4622</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4623</v>
      </c>
      <c r="B136" s="237" t="s">
        <v>4624</v>
      </c>
      <c r="C136" s="237" t="s">
        <v>4625</v>
      </c>
      <c r="D136" s="237" t="s">
        <v>4626</v>
      </c>
      <c r="E136" s="237" t="s">
        <v>4627</v>
      </c>
      <c r="F136" s="237" t="s">
        <v>4628</v>
      </c>
      <c r="G136" s="237" t="s">
        <v>21</v>
      </c>
      <c r="H136" s="237" t="s">
        <v>4629</v>
      </c>
      <c r="I136" s="237" t="s">
        <v>21</v>
      </c>
      <c r="J136" s="237" t="s">
        <v>4630</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4631</v>
      </c>
      <c r="B137" s="237" t="s">
        <v>4632</v>
      </c>
      <c r="C137" s="237" t="s">
        <v>4633</v>
      </c>
      <c r="D137" s="237" t="s">
        <v>4634</v>
      </c>
      <c r="E137" s="237" t="s">
        <v>21</v>
      </c>
      <c r="F137" s="237" t="s">
        <v>21</v>
      </c>
      <c r="G137" s="237" t="s">
        <v>21</v>
      </c>
      <c r="H137" s="237" t="s">
        <v>4635</v>
      </c>
      <c r="I137" s="237" t="s">
        <v>21</v>
      </c>
      <c r="J137" s="237" t="s">
        <v>4636</v>
      </c>
      <c r="K137" s="240">
        <f>IF(COUNTIF(L137:AY137,"&lt;&gt;")=0,"",SUMPRODUCT(((Recommendations[ImplStatus]="Implemented")+(Recommendations[ImplStatus]="Compensated"))*ISNUMBER(MATCH(Recommendations[Id],L137:AY137,0)))/COUNTIF(L137:AY137,"&lt;&gt;"))</f>
        <v>0</v>
      </c>
      <c r="L137" s="243" t="s">
        <v>348</v>
      </c>
      <c r="M137" s="243" t="s">
        <v>398</v>
      </c>
      <c r="N137" s="243" t="s">
        <v>520</v>
      </c>
      <c r="O137" s="243" t="s">
        <v>525</v>
      </c>
      <c r="P137" s="243" t="s">
        <v>590</v>
      </c>
      <c r="Q137" s="243" t="s">
        <v>613</v>
      </c>
      <c r="R137" s="243" t="s">
        <v>644</v>
      </c>
      <c r="S137" s="243" t="s">
        <v>649</v>
      </c>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4637</v>
      </c>
      <c r="B138" s="237" t="s">
        <v>4638</v>
      </c>
      <c r="C138" s="237" t="s">
        <v>4639</v>
      </c>
      <c r="D138" s="237" t="s">
        <v>21</v>
      </c>
      <c r="E138" s="237" t="s">
        <v>21</v>
      </c>
      <c r="F138" s="237" t="s">
        <v>21</v>
      </c>
      <c r="G138" s="237" t="s">
        <v>21</v>
      </c>
      <c r="H138" s="237" t="s">
        <v>4640</v>
      </c>
      <c r="I138" s="237" t="s">
        <v>21</v>
      </c>
      <c r="J138" s="237" t="s">
        <v>4641</v>
      </c>
      <c r="K138" s="240">
        <f>IF(COUNTIF(L138:AY138,"&lt;&gt;")=0,"",SUMPRODUCT(((Recommendations[ImplStatus]="Implemented")+(Recommendations[ImplStatus]="Compensated"))*ISNUMBER(MATCH(Recommendations[Id],L138:AY138,0)))/COUNTIF(L138:AY138,"&lt;&gt;"))</f>
        <v>0</v>
      </c>
      <c r="L138" s="243" t="s">
        <v>495</v>
      </c>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4642</v>
      </c>
      <c r="B139" s="237" t="s">
        <v>4643</v>
      </c>
      <c r="C139" s="237" t="s">
        <v>4644</v>
      </c>
      <c r="D139" s="237" t="s">
        <v>4645</v>
      </c>
      <c r="E139" s="237" t="s">
        <v>21</v>
      </c>
      <c r="F139" s="237" t="s">
        <v>21</v>
      </c>
      <c r="G139" s="237" t="s">
        <v>21</v>
      </c>
      <c r="H139" s="237" t="s">
        <v>4646</v>
      </c>
      <c r="I139" s="237" t="s">
        <v>4647</v>
      </c>
      <c r="J139" s="237" t="s">
        <v>4648</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4649</v>
      </c>
      <c r="B140" s="237" t="s">
        <v>4650</v>
      </c>
      <c r="C140" s="237" t="s">
        <v>4651</v>
      </c>
      <c r="D140" s="237" t="s">
        <v>4652</v>
      </c>
      <c r="E140" s="237" t="s">
        <v>21</v>
      </c>
      <c r="F140" s="237" t="s">
        <v>21</v>
      </c>
      <c r="G140" s="237" t="s">
        <v>21</v>
      </c>
      <c r="H140" s="237" t="s">
        <v>4653</v>
      </c>
      <c r="I140" s="237" t="s">
        <v>4376</v>
      </c>
      <c r="J140" s="237" t="s">
        <v>4654</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4655</v>
      </c>
      <c r="B141" s="237" t="s">
        <v>4656</v>
      </c>
      <c r="C141" s="237" t="s">
        <v>4657</v>
      </c>
      <c r="D141" s="237" t="s">
        <v>21</v>
      </c>
      <c r="E141" s="237" t="s">
        <v>4658</v>
      </c>
      <c r="F141" s="237" t="s">
        <v>21</v>
      </c>
      <c r="G141" s="237" t="s">
        <v>21</v>
      </c>
      <c r="H141" s="237" t="s">
        <v>4659</v>
      </c>
      <c r="I141" s="237" t="s">
        <v>4376</v>
      </c>
      <c r="J141" s="237" t="s">
        <v>4660</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4661</v>
      </c>
      <c r="B142" s="237" t="s">
        <v>4662</v>
      </c>
      <c r="C142" s="237" t="s">
        <v>4663</v>
      </c>
      <c r="D142" s="237" t="s">
        <v>4664</v>
      </c>
      <c r="E142" s="237" t="s">
        <v>4658</v>
      </c>
      <c r="F142" s="237" t="s">
        <v>21</v>
      </c>
      <c r="G142" s="237" t="s">
        <v>21</v>
      </c>
      <c r="H142" s="237" t="s">
        <v>4665</v>
      </c>
      <c r="I142" s="237" t="s">
        <v>4666</v>
      </c>
      <c r="J142" s="237" t="s">
        <v>4667</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1396</v>
      </c>
      <c r="B143" s="236" t="s">
        <v>4668</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4669</v>
      </c>
      <c r="B144" s="237" t="s">
        <v>4670</v>
      </c>
      <c r="C144" s="237" t="s">
        <v>4671</v>
      </c>
      <c r="D144" s="237" t="s">
        <v>21</v>
      </c>
      <c r="E144" s="237" t="s">
        <v>21</v>
      </c>
      <c r="F144" s="237" t="s">
        <v>21</v>
      </c>
      <c r="G144" s="237" t="s">
        <v>21</v>
      </c>
      <c r="H144" s="237" t="s">
        <v>4672</v>
      </c>
      <c r="I144" s="237" t="s">
        <v>21</v>
      </c>
      <c r="J144" s="237" t="s">
        <v>4673</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4674</v>
      </c>
      <c r="B145" s="237" t="s">
        <v>4675</v>
      </c>
      <c r="C145" s="237" t="s">
        <v>4676</v>
      </c>
      <c r="D145" s="237" t="s">
        <v>21</v>
      </c>
      <c r="E145" s="237" t="s">
        <v>21</v>
      </c>
      <c r="F145" s="237" t="s">
        <v>21</v>
      </c>
      <c r="G145" s="237" t="s">
        <v>21</v>
      </c>
      <c r="H145" s="237" t="s">
        <v>4677</v>
      </c>
      <c r="I145" s="237" t="s">
        <v>21</v>
      </c>
      <c r="J145" s="237" t="s">
        <v>4678</v>
      </c>
      <c r="K145" s="240">
        <f>IF(COUNTIF(L145:AY145,"&lt;&gt;")=0,"",SUMPRODUCT(((Recommendations[ImplStatus]="Implemented")+(Recommendations[ImplStatus]="Compensated"))*ISNUMBER(MATCH(Recommendations[Id],L145:AY145,0)))/COUNTIF(L145:AY145,"&lt;&gt;"))</f>
        <v>0</v>
      </c>
      <c r="L145" s="243" t="s">
        <v>398</v>
      </c>
      <c r="M145" s="243" t="s">
        <v>590</v>
      </c>
      <c r="N145" s="243" t="s">
        <v>613</v>
      </c>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4679</v>
      </c>
      <c r="B146" s="237" t="s">
        <v>4680</v>
      </c>
      <c r="C146" s="237" t="s">
        <v>4681</v>
      </c>
      <c r="D146" s="237" t="s">
        <v>4682</v>
      </c>
      <c r="E146" s="237" t="s">
        <v>21</v>
      </c>
      <c r="F146" s="237" t="s">
        <v>21</v>
      </c>
      <c r="G146" s="237" t="s">
        <v>21</v>
      </c>
      <c r="H146" s="237" t="s">
        <v>4683</v>
      </c>
      <c r="I146" s="237" t="s">
        <v>21</v>
      </c>
      <c r="J146" s="237" t="s">
        <v>4684</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4685</v>
      </c>
      <c r="B147" s="235" t="s">
        <v>4686</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1418</v>
      </c>
      <c r="B148" s="236" t="s">
        <v>4687</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4688</v>
      </c>
      <c r="B149" s="237" t="s">
        <v>4689</v>
      </c>
      <c r="C149" s="237" t="s">
        <v>4690</v>
      </c>
      <c r="D149" s="237" t="s">
        <v>4148</v>
      </c>
      <c r="E149" s="237" t="s">
        <v>3934</v>
      </c>
      <c r="F149" s="237" t="s">
        <v>21</v>
      </c>
      <c r="G149" s="237" t="s">
        <v>21</v>
      </c>
      <c r="H149" s="237" t="s">
        <v>4691</v>
      </c>
      <c r="I149" s="237" t="s">
        <v>21</v>
      </c>
      <c r="J149" s="237" t="s">
        <v>4692</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4693</v>
      </c>
      <c r="B150" s="237" t="s">
        <v>4694</v>
      </c>
      <c r="C150" s="237" t="s">
        <v>3939</v>
      </c>
      <c r="D150" s="237" t="s">
        <v>3940</v>
      </c>
      <c r="E150" s="237" t="s">
        <v>21</v>
      </c>
      <c r="F150" s="237" t="s">
        <v>3942</v>
      </c>
      <c r="G150" s="237" t="s">
        <v>21</v>
      </c>
      <c r="H150" s="237" t="s">
        <v>4695</v>
      </c>
      <c r="I150" s="237" t="s">
        <v>21</v>
      </c>
      <c r="J150" s="237" t="s">
        <v>4696</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1422</v>
      </c>
      <c r="B151" s="236" t="s">
        <v>4697</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4698</v>
      </c>
      <c r="B152" s="237" t="s">
        <v>4699</v>
      </c>
      <c r="C152" s="237" t="s">
        <v>4700</v>
      </c>
      <c r="D152" s="237" t="s">
        <v>21</v>
      </c>
      <c r="E152" s="237" t="s">
        <v>21</v>
      </c>
      <c r="F152" s="237" t="s">
        <v>21</v>
      </c>
      <c r="G152" s="237" t="s">
        <v>21</v>
      </c>
      <c r="H152" s="237" t="s">
        <v>4701</v>
      </c>
      <c r="I152" s="237" t="s">
        <v>4702</v>
      </c>
      <c r="J152" s="237" t="s">
        <v>4703</v>
      </c>
      <c r="K152" s="240">
        <f>IF(COUNTIF(L152:AY152,"&lt;&gt;")=0,"",SUMPRODUCT(((Recommendations[ImplStatus]="Implemented")+(Recommendations[ImplStatus]="Compensated"))*ISNUMBER(MATCH(Recommendations[Id],L152:AY152,0)))/COUNTIF(L152:AY152,"&lt;&gt;"))</f>
        <v>0</v>
      </c>
      <c r="L152" s="243" t="s">
        <v>198</v>
      </c>
      <c r="M152" s="243" t="s">
        <v>373</v>
      </c>
      <c r="N152" s="243" t="s">
        <v>413</v>
      </c>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4704</v>
      </c>
      <c r="B153" s="237" t="s">
        <v>4705</v>
      </c>
      <c r="C153" s="237" t="s">
        <v>4706</v>
      </c>
      <c r="D153" s="237" t="s">
        <v>4707</v>
      </c>
      <c r="E153" s="237" t="s">
        <v>21</v>
      </c>
      <c r="F153" s="237" t="s">
        <v>4708</v>
      </c>
      <c r="G153" s="237" t="s">
        <v>21</v>
      </c>
      <c r="H153" s="237" t="s">
        <v>4709</v>
      </c>
      <c r="I153" s="237" t="s">
        <v>4710</v>
      </c>
      <c r="J153" s="237" t="s">
        <v>4711</v>
      </c>
      <c r="K153" s="240">
        <f>IF(COUNTIF(L153:AY153,"&lt;&gt;")=0,"",SUMPRODUCT(((Recommendations[ImplStatus]="Implemented")+(Recommendations[ImplStatus]="Compensated"))*ISNUMBER(MATCH(Recommendations[Id],L153:AY153,0)))/COUNTIF(L153:AY153,"&lt;&gt;"))</f>
        <v>0</v>
      </c>
      <c r="L153" s="243" t="s">
        <v>530</v>
      </c>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4712</v>
      </c>
      <c r="B154" s="237" t="s">
        <v>4713</v>
      </c>
      <c r="C154" s="237" t="s">
        <v>4714</v>
      </c>
      <c r="D154" s="237" t="s">
        <v>21</v>
      </c>
      <c r="E154" s="237" t="s">
        <v>21</v>
      </c>
      <c r="F154" s="237" t="s">
        <v>4715</v>
      </c>
      <c r="G154" s="237" t="s">
        <v>21</v>
      </c>
      <c r="H154" s="237" t="s">
        <v>4716</v>
      </c>
      <c r="I154" s="237" t="s">
        <v>21</v>
      </c>
      <c r="J154" s="237" t="s">
        <v>4717</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4718</v>
      </c>
      <c r="B155" s="237" t="s">
        <v>4719</v>
      </c>
      <c r="C155" s="237" t="s">
        <v>4720</v>
      </c>
      <c r="D155" s="237" t="s">
        <v>21</v>
      </c>
      <c r="E155" s="237" t="s">
        <v>21</v>
      </c>
      <c r="F155" s="237" t="s">
        <v>21</v>
      </c>
      <c r="G155" s="237" t="s">
        <v>21</v>
      </c>
      <c r="H155" s="237" t="s">
        <v>4721</v>
      </c>
      <c r="I155" s="237" t="s">
        <v>4722</v>
      </c>
      <c r="J155" s="237" t="s">
        <v>4723</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4724</v>
      </c>
      <c r="B156" s="237" t="s">
        <v>4725</v>
      </c>
      <c r="C156" s="237" t="s">
        <v>4726</v>
      </c>
      <c r="D156" s="237" t="s">
        <v>21</v>
      </c>
      <c r="E156" s="237" t="s">
        <v>21</v>
      </c>
      <c r="F156" s="237" t="s">
        <v>21</v>
      </c>
      <c r="G156" s="237" t="s">
        <v>21</v>
      </c>
      <c r="H156" s="237" t="s">
        <v>4727</v>
      </c>
      <c r="I156" s="237" t="s">
        <v>21</v>
      </c>
      <c r="J156" s="237" t="s">
        <v>4728</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4729</v>
      </c>
      <c r="B157" s="237" t="s">
        <v>4730</v>
      </c>
      <c r="C157" s="237" t="s">
        <v>4731</v>
      </c>
      <c r="D157" s="237" t="s">
        <v>4732</v>
      </c>
      <c r="E157" s="237" t="s">
        <v>21</v>
      </c>
      <c r="F157" s="237" t="s">
        <v>21</v>
      </c>
      <c r="G157" s="237" t="s">
        <v>21</v>
      </c>
      <c r="H157" s="237" t="s">
        <v>4733</v>
      </c>
      <c r="I157" s="237" t="s">
        <v>21</v>
      </c>
      <c r="J157" s="237" t="s">
        <v>4734</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4735</v>
      </c>
      <c r="B158" s="237" t="s">
        <v>4736</v>
      </c>
      <c r="C158" s="237" t="s">
        <v>4737</v>
      </c>
      <c r="D158" s="237" t="s">
        <v>4738</v>
      </c>
      <c r="E158" s="237" t="s">
        <v>21</v>
      </c>
      <c r="F158" s="237" t="s">
        <v>21</v>
      </c>
      <c r="G158" s="237" t="s">
        <v>21</v>
      </c>
      <c r="H158" s="237" t="s">
        <v>21</v>
      </c>
      <c r="I158" s="237" t="s">
        <v>21</v>
      </c>
      <c r="J158" s="237" t="s">
        <v>4739</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4740</v>
      </c>
      <c r="B159" s="237" t="s">
        <v>4741</v>
      </c>
      <c r="C159" s="237" t="s">
        <v>4742</v>
      </c>
      <c r="D159" s="237" t="s">
        <v>4743</v>
      </c>
      <c r="E159" s="237" t="s">
        <v>21</v>
      </c>
      <c r="F159" s="237" t="s">
        <v>4744</v>
      </c>
      <c r="G159" s="237" t="s">
        <v>21</v>
      </c>
      <c r="H159" s="237" t="s">
        <v>4745</v>
      </c>
      <c r="I159" s="237" t="s">
        <v>4746</v>
      </c>
      <c r="J159" s="237" t="s">
        <v>4747</v>
      </c>
      <c r="K159" s="240">
        <f>IF(COUNTIF(L159:AY159,"&lt;&gt;")=0,"",SUMPRODUCT(((Recommendations[ImplStatus]="Implemented")+(Recommendations[ImplStatus]="Compensated"))*ISNUMBER(MATCH(Recommendations[Id],L159:AY159,0)))/COUNTIF(L159:AY159,"&lt;&gt;"))</f>
        <v>0</v>
      </c>
      <c r="L159" s="243" t="s">
        <v>144</v>
      </c>
      <c r="M159" s="243" t="s">
        <v>149</v>
      </c>
      <c r="N159" s="243" t="s">
        <v>218</v>
      </c>
      <c r="O159" s="243" t="s">
        <v>223</v>
      </c>
      <c r="P159" s="243" t="s">
        <v>228</v>
      </c>
      <c r="Q159" s="243" t="s">
        <v>383</v>
      </c>
      <c r="R159" s="243" t="s">
        <v>393</v>
      </c>
      <c r="S159" s="243" t="s">
        <v>845</v>
      </c>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1426</v>
      </c>
      <c r="B160" s="236" t="s">
        <v>4748</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4749</v>
      </c>
      <c r="B161" s="237" t="s">
        <v>4750</v>
      </c>
      <c r="C161" s="237" t="s">
        <v>4751</v>
      </c>
      <c r="D161" s="237" t="s">
        <v>4752</v>
      </c>
      <c r="E161" s="237" t="s">
        <v>21</v>
      </c>
      <c r="F161" s="237" t="s">
        <v>21</v>
      </c>
      <c r="G161" s="237" t="s">
        <v>4753</v>
      </c>
      <c r="H161" s="237" t="s">
        <v>4754</v>
      </c>
      <c r="I161" s="237" t="s">
        <v>4755</v>
      </c>
      <c r="J161" s="237" t="s">
        <v>4756</v>
      </c>
      <c r="K161" s="240">
        <f>IF(COUNTIF(L161:AY161,"&lt;&gt;")=0,"",SUMPRODUCT(((Recommendations[ImplStatus]="Implemented")+(Recommendations[ImplStatus]="Compensated"))*ISNUMBER(MATCH(Recommendations[Id],L161:AY161,0)))/COUNTIF(L161:AY161,"&lt;&gt;"))</f>
        <v>0</v>
      </c>
      <c r="L161" s="243" t="s">
        <v>89</v>
      </c>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4757</v>
      </c>
      <c r="B162" s="237" t="s">
        <v>4758</v>
      </c>
      <c r="C162" s="237" t="s">
        <v>4759</v>
      </c>
      <c r="D162" s="237" t="s">
        <v>4760</v>
      </c>
      <c r="E162" s="237" t="s">
        <v>21</v>
      </c>
      <c r="F162" s="237" t="s">
        <v>21</v>
      </c>
      <c r="G162" s="237" t="s">
        <v>21</v>
      </c>
      <c r="H162" s="237" t="s">
        <v>4761</v>
      </c>
      <c r="I162" s="237" t="s">
        <v>21</v>
      </c>
      <c r="J162" s="237" t="s">
        <v>4762</v>
      </c>
      <c r="K162" s="240">
        <f>IF(COUNTIF(L162:AY162,"&lt;&gt;")=0,"",SUMPRODUCT(((Recommendations[ImplStatus]="Implemented")+(Recommendations[ImplStatus]="Compensated"))*ISNUMBER(MATCH(Recommendations[Id],L162:AY162,0)))/COUNTIF(L162:AY162,"&lt;&gt;"))</f>
        <v>0</v>
      </c>
      <c r="L162" s="243" t="s">
        <v>179</v>
      </c>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4763</v>
      </c>
      <c r="B163" s="237" t="s">
        <v>4764</v>
      </c>
      <c r="C163" s="237" t="s">
        <v>4765</v>
      </c>
      <c r="D163" s="237" t="s">
        <v>4760</v>
      </c>
      <c r="E163" s="237" t="s">
        <v>21</v>
      </c>
      <c r="F163" s="237" t="s">
        <v>4766</v>
      </c>
      <c r="G163" s="237" t="s">
        <v>21</v>
      </c>
      <c r="H163" s="237" t="s">
        <v>4767</v>
      </c>
      <c r="I163" s="237" t="s">
        <v>21</v>
      </c>
      <c r="J163" s="237" t="s">
        <v>4768</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4769</v>
      </c>
      <c r="B164" s="237" t="s">
        <v>4770</v>
      </c>
      <c r="C164" s="237" t="s">
        <v>4771</v>
      </c>
      <c r="D164" s="237" t="s">
        <v>4772</v>
      </c>
      <c r="E164" s="237" t="s">
        <v>21</v>
      </c>
      <c r="F164" s="237" t="s">
        <v>21</v>
      </c>
      <c r="G164" s="237" t="s">
        <v>21</v>
      </c>
      <c r="H164" s="237" t="s">
        <v>4773</v>
      </c>
      <c r="I164" s="237" t="s">
        <v>4774</v>
      </c>
      <c r="J164" s="237" t="s">
        <v>4775</v>
      </c>
      <c r="K164" s="240">
        <f>IF(COUNTIF(L164:AY164,"&lt;&gt;")=0,"",SUMPRODUCT(((Recommendations[ImplStatus]="Implemented")+(Recommendations[ImplStatus]="Compensated"))*ISNUMBER(MATCH(Recommendations[Id],L164:AY164,0)))/COUNTIF(L164:AY164,"&lt;&gt;"))</f>
        <v>0</v>
      </c>
      <c r="L164" s="243" t="s">
        <v>41</v>
      </c>
      <c r="M164" s="243" t="s">
        <v>46</v>
      </c>
      <c r="N164" s="243" t="s">
        <v>565</v>
      </c>
      <c r="O164" s="243" t="s">
        <v>569</v>
      </c>
      <c r="P164" s="243" t="s">
        <v>573</v>
      </c>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4776</v>
      </c>
      <c r="B165" s="237" t="s">
        <v>4777</v>
      </c>
      <c r="C165" s="237" t="s">
        <v>4778</v>
      </c>
      <c r="D165" s="237" t="s">
        <v>21</v>
      </c>
      <c r="E165" s="237" t="s">
        <v>21</v>
      </c>
      <c r="F165" s="237" t="s">
        <v>21</v>
      </c>
      <c r="G165" s="237" t="s">
        <v>21</v>
      </c>
      <c r="H165" s="237" t="s">
        <v>4779</v>
      </c>
      <c r="I165" s="237" t="s">
        <v>21</v>
      </c>
      <c r="J165" s="237" t="s">
        <v>4780</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4781</v>
      </c>
      <c r="B166" s="237" t="s">
        <v>4782</v>
      </c>
      <c r="C166" s="237" t="s">
        <v>4783</v>
      </c>
      <c r="D166" s="237" t="s">
        <v>4784</v>
      </c>
      <c r="E166" s="237" t="s">
        <v>21</v>
      </c>
      <c r="F166" s="237" t="s">
        <v>21</v>
      </c>
      <c r="G166" s="237" t="s">
        <v>21</v>
      </c>
      <c r="H166" s="237" t="s">
        <v>4785</v>
      </c>
      <c r="I166" s="237" t="s">
        <v>4786</v>
      </c>
      <c r="J166" s="237" t="s">
        <v>4787</v>
      </c>
      <c r="K166" s="240">
        <f>IF(COUNTIF(L166:AY166,"&lt;&gt;")=0,"",SUMPRODUCT(((Recommendations[ImplStatus]="Implemented")+(Recommendations[ImplStatus]="Compensated"))*ISNUMBER(MATCH(Recommendations[Id],L166:AY166,0)))/COUNTIF(L166:AY166,"&lt;&gt;"))</f>
        <v>0</v>
      </c>
      <c r="L166" s="243" t="s">
        <v>169</v>
      </c>
      <c r="M166" s="243" t="s">
        <v>480</v>
      </c>
      <c r="N166" s="243" t="s">
        <v>544</v>
      </c>
      <c r="O166" s="243" t="s">
        <v>549</v>
      </c>
      <c r="P166" s="243" t="s">
        <v>553</v>
      </c>
      <c r="Q166" s="243" t="s">
        <v>557</v>
      </c>
      <c r="R166" s="243" t="s">
        <v>561</v>
      </c>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4788</v>
      </c>
      <c r="B167" s="237" t="s">
        <v>4789</v>
      </c>
      <c r="C167" s="237" t="s">
        <v>4790</v>
      </c>
      <c r="D167" s="237" t="s">
        <v>21</v>
      </c>
      <c r="E167" s="237" t="s">
        <v>21</v>
      </c>
      <c r="F167" s="237" t="s">
        <v>21</v>
      </c>
      <c r="G167" s="237" t="s">
        <v>21</v>
      </c>
      <c r="H167" s="237" t="s">
        <v>4791</v>
      </c>
      <c r="I167" s="237" t="s">
        <v>4792</v>
      </c>
      <c r="J167" s="237" t="s">
        <v>4793</v>
      </c>
      <c r="K167" s="240">
        <f>IF(COUNTIF(L167:AY167,"&lt;&gt;")=0,"",SUMPRODUCT(((Recommendations[ImplStatus]="Implemented")+(Recommendations[ImplStatus]="Compensated"))*ISNUMBER(MATCH(Recommendations[Id],L167:AY167,0)))/COUNTIF(L167:AY167,"&lt;&gt;"))</f>
        <v>0</v>
      </c>
      <c r="L167" s="243" t="s">
        <v>174</v>
      </c>
      <c r="M167" s="243" t="s">
        <v>377</v>
      </c>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4794</v>
      </c>
      <c r="B168" s="237" t="s">
        <v>4795</v>
      </c>
      <c r="C168" s="237" t="s">
        <v>4796</v>
      </c>
      <c r="D168" s="237" t="s">
        <v>4797</v>
      </c>
      <c r="E168" s="237" t="s">
        <v>21</v>
      </c>
      <c r="F168" s="237" t="s">
        <v>21</v>
      </c>
      <c r="G168" s="237" t="s">
        <v>21</v>
      </c>
      <c r="H168" s="237" t="s">
        <v>4798</v>
      </c>
      <c r="I168" s="237" t="s">
        <v>21</v>
      </c>
      <c r="J168" s="237" t="s">
        <v>4799</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4800</v>
      </c>
      <c r="B169" s="237" t="s">
        <v>4801</v>
      </c>
      <c r="C169" s="237" t="s">
        <v>4802</v>
      </c>
      <c r="D169" s="237" t="s">
        <v>4803</v>
      </c>
      <c r="E169" s="237" t="s">
        <v>21</v>
      </c>
      <c r="F169" s="237" t="s">
        <v>21</v>
      </c>
      <c r="G169" s="237" t="s">
        <v>4804</v>
      </c>
      <c r="H169" s="237" t="s">
        <v>4805</v>
      </c>
      <c r="I169" s="237" t="s">
        <v>4806</v>
      </c>
      <c r="J169" s="237" t="s">
        <v>4807</v>
      </c>
      <c r="K169" s="240">
        <f>IF(COUNTIF(L169:AY169,"&lt;&gt;")=0,"",SUMPRODUCT(((Recommendations[ImplStatus]="Implemented")+(Recommendations[ImplStatus]="Compensated"))*ISNUMBER(MATCH(Recommendations[Id],L169:AY169,0)))/COUNTIF(L169:AY169,"&lt;&gt;"))</f>
        <v>0</v>
      </c>
      <c r="L169" s="243" t="s">
        <v>388</v>
      </c>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4808</v>
      </c>
      <c r="B170" s="237" t="s">
        <v>4809</v>
      </c>
      <c r="C170" s="237" t="s">
        <v>4810</v>
      </c>
      <c r="D170" s="237" t="s">
        <v>4811</v>
      </c>
      <c r="E170" s="237" t="s">
        <v>21</v>
      </c>
      <c r="F170" s="237" t="s">
        <v>21</v>
      </c>
      <c r="G170" s="237" t="s">
        <v>21</v>
      </c>
      <c r="H170" s="237" t="s">
        <v>4812</v>
      </c>
      <c r="I170" s="237" t="s">
        <v>4813</v>
      </c>
      <c r="J170" s="237" t="s">
        <v>4814</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4815</v>
      </c>
      <c r="B171" s="237" t="s">
        <v>4816</v>
      </c>
      <c r="C171" s="237" t="s">
        <v>4810</v>
      </c>
      <c r="D171" s="237" t="s">
        <v>4817</v>
      </c>
      <c r="E171" s="237" t="s">
        <v>21</v>
      </c>
      <c r="F171" s="237" t="s">
        <v>21</v>
      </c>
      <c r="G171" s="237" t="s">
        <v>4818</v>
      </c>
      <c r="H171" s="237" t="s">
        <v>4812</v>
      </c>
      <c r="I171" s="237" t="s">
        <v>4819</v>
      </c>
      <c r="J171" s="237" t="s">
        <v>4820</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4821</v>
      </c>
      <c r="B172" s="237" t="s">
        <v>4822</v>
      </c>
      <c r="C172" s="237" t="s">
        <v>4823</v>
      </c>
      <c r="D172" s="237" t="s">
        <v>4824</v>
      </c>
      <c r="E172" s="237" t="s">
        <v>21</v>
      </c>
      <c r="F172" s="237" t="s">
        <v>21</v>
      </c>
      <c r="G172" s="237" t="s">
        <v>21</v>
      </c>
      <c r="H172" s="237" t="s">
        <v>4825</v>
      </c>
      <c r="I172" s="237" t="s">
        <v>21</v>
      </c>
      <c r="J172" s="237" t="s">
        <v>4826</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1430</v>
      </c>
      <c r="B173" s="236" t="s">
        <v>4827</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4828</v>
      </c>
      <c r="B174" s="237" t="s">
        <v>4829</v>
      </c>
      <c r="C174" s="237" t="s">
        <v>4830</v>
      </c>
      <c r="D174" s="237" t="s">
        <v>4831</v>
      </c>
      <c r="E174" s="237" t="s">
        <v>4832</v>
      </c>
      <c r="F174" s="237" t="s">
        <v>21</v>
      </c>
      <c r="G174" s="237" t="s">
        <v>21</v>
      </c>
      <c r="H174" s="237" t="s">
        <v>4833</v>
      </c>
      <c r="I174" s="237" t="s">
        <v>4834</v>
      </c>
      <c r="J174" s="237" t="s">
        <v>4835</v>
      </c>
      <c r="K174" s="240">
        <f>IF(COUNTIF(L174:AY174,"&lt;&gt;")=0,"",SUMPRODUCT(((Recommendations[ImplStatus]="Implemented")+(Recommendations[ImplStatus]="Compensated"))*ISNUMBER(MATCH(Recommendations[Id],L174:AY174,0)))/COUNTIF(L174:AY174,"&lt;&gt;"))</f>
        <v>0</v>
      </c>
      <c r="L174" s="243" t="s">
        <v>213</v>
      </c>
      <c r="M174" s="243" t="s">
        <v>624</v>
      </c>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4836</v>
      </c>
      <c r="B175" s="237" t="s">
        <v>4837</v>
      </c>
      <c r="C175" s="237" t="s">
        <v>4838</v>
      </c>
      <c r="D175" s="237" t="s">
        <v>21</v>
      </c>
      <c r="E175" s="237" t="s">
        <v>4839</v>
      </c>
      <c r="F175" s="237" t="s">
        <v>21</v>
      </c>
      <c r="G175" s="237" t="s">
        <v>21</v>
      </c>
      <c r="H175" s="237" t="s">
        <v>4840</v>
      </c>
      <c r="I175" s="237" t="s">
        <v>21</v>
      </c>
      <c r="J175" s="237" t="s">
        <v>4841</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4842</v>
      </c>
      <c r="B176" s="237" t="s">
        <v>4843</v>
      </c>
      <c r="C176" s="237" t="s">
        <v>4844</v>
      </c>
      <c r="D176" s="237" t="s">
        <v>21</v>
      </c>
      <c r="E176" s="237" t="s">
        <v>4845</v>
      </c>
      <c r="F176" s="237" t="s">
        <v>21</v>
      </c>
      <c r="G176" s="237" t="s">
        <v>21</v>
      </c>
      <c r="H176" s="237" t="s">
        <v>4846</v>
      </c>
      <c r="I176" s="237" t="s">
        <v>4847</v>
      </c>
      <c r="J176" s="237" t="s">
        <v>4848</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1435</v>
      </c>
      <c r="B177" s="236" t="s">
        <v>4849</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4850</v>
      </c>
      <c r="B178" s="237" t="s">
        <v>4851</v>
      </c>
      <c r="C178" s="237" t="s">
        <v>4852</v>
      </c>
      <c r="D178" s="237" t="s">
        <v>4853</v>
      </c>
      <c r="E178" s="237" t="s">
        <v>4854</v>
      </c>
      <c r="F178" s="237" t="s">
        <v>4855</v>
      </c>
      <c r="G178" s="237" t="s">
        <v>21</v>
      </c>
      <c r="H178" s="237" t="s">
        <v>4856</v>
      </c>
      <c r="I178" s="237" t="s">
        <v>4857</v>
      </c>
      <c r="J178" s="237" t="s">
        <v>4858</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1439</v>
      </c>
      <c r="B179" s="236" t="s">
        <v>4859</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4860</v>
      </c>
      <c r="B180" s="237" t="s">
        <v>4861</v>
      </c>
      <c r="C180" s="237" t="s">
        <v>4862</v>
      </c>
      <c r="D180" s="237" t="s">
        <v>4853</v>
      </c>
      <c r="E180" s="237" t="s">
        <v>4863</v>
      </c>
      <c r="F180" s="237" t="s">
        <v>21</v>
      </c>
      <c r="G180" s="237" t="s">
        <v>21</v>
      </c>
      <c r="H180" s="237" t="s">
        <v>4864</v>
      </c>
      <c r="I180" s="237" t="s">
        <v>4376</v>
      </c>
      <c r="J180" s="237" t="s">
        <v>4865</v>
      </c>
      <c r="K180" s="240">
        <f>IF(COUNTIF(L180:AY180,"&lt;&gt;")=0,"",SUMPRODUCT(((Recommendations[ImplStatus]="Implemented")+(Recommendations[ImplStatus]="Compensated"))*ISNUMBER(MATCH(Recommendations[Id],L180:AY180,0)))/COUNTIF(L180:AY180,"&lt;&gt;"))</f>
        <v>0</v>
      </c>
      <c r="L180" s="243" t="s">
        <v>470</v>
      </c>
      <c r="M180" s="243" t="s">
        <v>530</v>
      </c>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4866</v>
      </c>
      <c r="B181" s="237" t="s">
        <v>4867</v>
      </c>
      <c r="C181" s="237" t="s">
        <v>4868</v>
      </c>
      <c r="D181" s="237" t="s">
        <v>4869</v>
      </c>
      <c r="E181" s="237" t="s">
        <v>21</v>
      </c>
      <c r="F181" s="237" t="s">
        <v>21</v>
      </c>
      <c r="G181" s="237" t="s">
        <v>21</v>
      </c>
      <c r="H181" s="237" t="s">
        <v>4870</v>
      </c>
      <c r="I181" s="237" t="s">
        <v>4871</v>
      </c>
      <c r="J181" s="237" t="s">
        <v>4872</v>
      </c>
      <c r="K181" s="240">
        <f>IF(COUNTIF(L181:AY181,"&lt;&gt;")=0,"",SUMPRODUCT(((Recommendations[ImplStatus]="Implemented")+(Recommendations[ImplStatus]="Compensated"))*ISNUMBER(MATCH(Recommendations[Id],L181:AY181,0)))/COUNTIF(L181:AY181,"&lt;&gt;"))</f>
        <v>0</v>
      </c>
      <c r="L181" s="243" t="s">
        <v>475</v>
      </c>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4873</v>
      </c>
      <c r="B182" s="237" t="s">
        <v>4874</v>
      </c>
      <c r="C182" s="237" t="s">
        <v>4875</v>
      </c>
      <c r="D182" s="237" t="s">
        <v>4876</v>
      </c>
      <c r="E182" s="237" t="s">
        <v>21</v>
      </c>
      <c r="F182" s="237" t="s">
        <v>21</v>
      </c>
      <c r="G182" s="237" t="s">
        <v>21</v>
      </c>
      <c r="H182" s="237" t="s">
        <v>4877</v>
      </c>
      <c r="I182" s="237" t="s">
        <v>4376</v>
      </c>
      <c r="J182" s="237" t="s">
        <v>4878</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4879</v>
      </c>
      <c r="B183" s="235" t="s">
        <v>4880</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1469</v>
      </c>
      <c r="B184" s="236" t="s">
        <v>4881</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4882</v>
      </c>
      <c r="B185" s="237" t="s">
        <v>4883</v>
      </c>
      <c r="C185" s="237" t="s">
        <v>4884</v>
      </c>
      <c r="D185" s="237" t="s">
        <v>4148</v>
      </c>
      <c r="E185" s="237" t="s">
        <v>4885</v>
      </c>
      <c r="F185" s="237" t="s">
        <v>21</v>
      </c>
      <c r="G185" s="237" t="s">
        <v>21</v>
      </c>
      <c r="H185" s="237" t="s">
        <v>4886</v>
      </c>
      <c r="I185" s="237" t="s">
        <v>21</v>
      </c>
      <c r="J185" s="237" t="s">
        <v>4887</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4888</v>
      </c>
      <c r="B186" s="237" t="s">
        <v>4889</v>
      </c>
      <c r="C186" s="237" t="s">
        <v>4153</v>
      </c>
      <c r="D186" s="237" t="s">
        <v>4890</v>
      </c>
      <c r="E186" s="237" t="s">
        <v>21</v>
      </c>
      <c r="F186" s="237" t="s">
        <v>21</v>
      </c>
      <c r="G186" s="237" t="s">
        <v>21</v>
      </c>
      <c r="H186" s="237" t="s">
        <v>4891</v>
      </c>
      <c r="I186" s="237" t="s">
        <v>21</v>
      </c>
      <c r="J186" s="237" t="s">
        <v>4892</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1473</v>
      </c>
      <c r="B187" s="236" t="s">
        <v>4893</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4894</v>
      </c>
      <c r="B188" s="237" t="s">
        <v>4895</v>
      </c>
      <c r="C188" s="237" t="s">
        <v>4896</v>
      </c>
      <c r="D188" s="237" t="s">
        <v>4897</v>
      </c>
      <c r="E188" s="237" t="s">
        <v>21</v>
      </c>
      <c r="F188" s="237" t="s">
        <v>4898</v>
      </c>
      <c r="G188" s="237" t="s">
        <v>21</v>
      </c>
      <c r="H188" s="237" t="s">
        <v>4899</v>
      </c>
      <c r="I188" s="237" t="s">
        <v>4900</v>
      </c>
      <c r="J188" s="237" t="s">
        <v>4901</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4902</v>
      </c>
      <c r="B189" s="237" t="s">
        <v>4903</v>
      </c>
      <c r="C189" s="237" t="s">
        <v>4904</v>
      </c>
      <c r="D189" s="237" t="s">
        <v>4905</v>
      </c>
      <c r="E189" s="237" t="s">
        <v>21</v>
      </c>
      <c r="F189" s="237" t="s">
        <v>21</v>
      </c>
      <c r="G189" s="237" t="s">
        <v>21</v>
      </c>
      <c r="H189" s="237" t="s">
        <v>4906</v>
      </c>
      <c r="I189" s="237" t="s">
        <v>21</v>
      </c>
      <c r="J189" s="237" t="s">
        <v>4907</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4908</v>
      </c>
      <c r="B190" s="237" t="s">
        <v>4909</v>
      </c>
      <c r="C190" s="237" t="s">
        <v>4910</v>
      </c>
      <c r="D190" s="237" t="s">
        <v>4911</v>
      </c>
      <c r="E190" s="237" t="s">
        <v>21</v>
      </c>
      <c r="F190" s="237" t="s">
        <v>4912</v>
      </c>
      <c r="G190" s="237" t="s">
        <v>21</v>
      </c>
      <c r="H190" s="237" t="s">
        <v>4913</v>
      </c>
      <c r="I190" s="237" t="s">
        <v>21</v>
      </c>
      <c r="J190" s="237" t="s">
        <v>4914</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4915</v>
      </c>
      <c r="B191" s="237" t="s">
        <v>4916</v>
      </c>
      <c r="C191" s="237" t="s">
        <v>4917</v>
      </c>
      <c r="D191" s="237" t="s">
        <v>21</v>
      </c>
      <c r="E191" s="237" t="s">
        <v>21</v>
      </c>
      <c r="F191" s="237" t="s">
        <v>21</v>
      </c>
      <c r="G191" s="237" t="s">
        <v>21</v>
      </c>
      <c r="H191" s="237" t="s">
        <v>4918</v>
      </c>
      <c r="I191" s="237" t="s">
        <v>21</v>
      </c>
      <c r="J191" s="237" t="s">
        <v>4919</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4920</v>
      </c>
      <c r="B192" s="237" t="s">
        <v>4921</v>
      </c>
      <c r="C192" s="237" t="s">
        <v>4922</v>
      </c>
      <c r="D192" s="237" t="s">
        <v>4923</v>
      </c>
      <c r="E192" s="237" t="s">
        <v>4924</v>
      </c>
      <c r="F192" s="237" t="s">
        <v>21</v>
      </c>
      <c r="G192" s="237" t="s">
        <v>21</v>
      </c>
      <c r="H192" s="237" t="s">
        <v>4925</v>
      </c>
      <c r="I192" s="237" t="s">
        <v>21</v>
      </c>
      <c r="J192" s="237" t="s">
        <v>4926</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1477</v>
      </c>
      <c r="B193" s="236" t="s">
        <v>4927</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4928</v>
      </c>
      <c r="B194" s="237" t="s">
        <v>4929</v>
      </c>
      <c r="C194" s="237" t="s">
        <v>4930</v>
      </c>
      <c r="D194" s="237" t="s">
        <v>4923</v>
      </c>
      <c r="E194" s="237" t="s">
        <v>4924</v>
      </c>
      <c r="F194" s="237" t="s">
        <v>4931</v>
      </c>
      <c r="G194" s="237" t="s">
        <v>21</v>
      </c>
      <c r="H194" s="237" t="s">
        <v>4932</v>
      </c>
      <c r="I194" s="237" t="s">
        <v>21</v>
      </c>
      <c r="J194" s="237" t="s">
        <v>4933</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4934</v>
      </c>
      <c r="B195" s="237" t="s">
        <v>4935</v>
      </c>
      <c r="C195" s="237" t="s">
        <v>4936</v>
      </c>
      <c r="D195" s="237" t="s">
        <v>4937</v>
      </c>
      <c r="E195" s="237" t="s">
        <v>21</v>
      </c>
      <c r="F195" s="237" t="s">
        <v>21</v>
      </c>
      <c r="G195" s="237" t="s">
        <v>21</v>
      </c>
      <c r="H195" s="237" t="s">
        <v>4938</v>
      </c>
      <c r="I195" s="237" t="s">
        <v>21</v>
      </c>
      <c r="J195" s="237" t="s">
        <v>4939</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4940</v>
      </c>
      <c r="B196" s="237" t="s">
        <v>4941</v>
      </c>
      <c r="C196" s="237" t="s">
        <v>4942</v>
      </c>
      <c r="D196" s="237" t="s">
        <v>21</v>
      </c>
      <c r="E196" s="237" t="s">
        <v>4943</v>
      </c>
      <c r="F196" s="237" t="s">
        <v>21</v>
      </c>
      <c r="G196" s="237" t="s">
        <v>21</v>
      </c>
      <c r="H196" s="237" t="s">
        <v>4944</v>
      </c>
      <c r="I196" s="237" t="s">
        <v>21</v>
      </c>
      <c r="J196" s="237" t="s">
        <v>4945</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4946</v>
      </c>
      <c r="B197" s="237" t="s">
        <v>4947</v>
      </c>
      <c r="C197" s="237" t="s">
        <v>4948</v>
      </c>
      <c r="D197" s="237" t="s">
        <v>21</v>
      </c>
      <c r="E197" s="237" t="s">
        <v>21</v>
      </c>
      <c r="F197" s="237" t="s">
        <v>21</v>
      </c>
      <c r="G197" s="237" t="s">
        <v>21</v>
      </c>
      <c r="H197" s="237" t="s">
        <v>4949</v>
      </c>
      <c r="I197" s="237" t="s">
        <v>21</v>
      </c>
      <c r="J197" s="237" t="s">
        <v>4950</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4951</v>
      </c>
      <c r="B198" s="237" t="s">
        <v>4952</v>
      </c>
      <c r="C198" s="237" t="s">
        <v>4953</v>
      </c>
      <c r="D198" s="237" t="s">
        <v>4954</v>
      </c>
      <c r="E198" s="237" t="s">
        <v>21</v>
      </c>
      <c r="F198" s="237" t="s">
        <v>21</v>
      </c>
      <c r="G198" s="237" t="s">
        <v>21</v>
      </c>
      <c r="H198" s="237" t="s">
        <v>4955</v>
      </c>
      <c r="I198" s="237" t="s">
        <v>21</v>
      </c>
      <c r="J198" s="237" t="s">
        <v>4956</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1481</v>
      </c>
      <c r="B199" s="236" t="s">
        <v>4957</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4958</v>
      </c>
      <c r="B200" s="237" t="s">
        <v>4959</v>
      </c>
      <c r="C200" s="237" t="s">
        <v>4960</v>
      </c>
      <c r="D200" s="237" t="s">
        <v>21</v>
      </c>
      <c r="E200" s="237" t="s">
        <v>21</v>
      </c>
      <c r="F200" s="237" t="s">
        <v>21</v>
      </c>
      <c r="G200" s="237" t="s">
        <v>21</v>
      </c>
      <c r="H200" s="237" t="s">
        <v>4961</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4962</v>
      </c>
      <c r="B201" s="237" t="s">
        <v>4963</v>
      </c>
      <c r="C201" s="237" t="s">
        <v>4964</v>
      </c>
      <c r="D201" s="237" t="s">
        <v>4965</v>
      </c>
      <c r="E201" s="237" t="s">
        <v>21</v>
      </c>
      <c r="F201" s="237" t="s">
        <v>21</v>
      </c>
      <c r="G201" s="237" t="s">
        <v>21</v>
      </c>
      <c r="H201" s="237" t="s">
        <v>4966</v>
      </c>
      <c r="I201" s="237" t="s">
        <v>21</v>
      </c>
      <c r="J201" s="237" t="s">
        <v>4967</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4968</v>
      </c>
      <c r="B202" s="237" t="s">
        <v>4969</v>
      </c>
      <c r="C202" s="237" t="s">
        <v>4970</v>
      </c>
      <c r="D202" s="237" t="s">
        <v>21</v>
      </c>
      <c r="E202" s="237" t="s">
        <v>21</v>
      </c>
      <c r="F202" s="237" t="s">
        <v>21</v>
      </c>
      <c r="G202" s="237" t="s">
        <v>21</v>
      </c>
      <c r="H202" s="237" t="s">
        <v>4971</v>
      </c>
      <c r="I202" s="237" t="s">
        <v>21</v>
      </c>
      <c r="J202" s="237" t="s">
        <v>4972</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4973</v>
      </c>
      <c r="B203" s="237" t="s">
        <v>4974</v>
      </c>
      <c r="C203" s="237" t="s">
        <v>4975</v>
      </c>
      <c r="D203" s="237" t="s">
        <v>4976</v>
      </c>
      <c r="E203" s="237" t="s">
        <v>21</v>
      </c>
      <c r="F203" s="237" t="s">
        <v>21</v>
      </c>
      <c r="G203" s="237" t="s">
        <v>21</v>
      </c>
      <c r="H203" s="237" t="s">
        <v>4977</v>
      </c>
      <c r="I203" s="237" t="s">
        <v>21</v>
      </c>
      <c r="J203" s="237" t="s">
        <v>4978</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4979</v>
      </c>
      <c r="B204" s="237" t="s">
        <v>4980</v>
      </c>
      <c r="C204" s="237" t="s">
        <v>4981</v>
      </c>
      <c r="D204" s="237" t="s">
        <v>21</v>
      </c>
      <c r="E204" s="237" t="s">
        <v>21</v>
      </c>
      <c r="F204" s="237" t="s">
        <v>21</v>
      </c>
      <c r="G204" s="237" t="s">
        <v>21</v>
      </c>
      <c r="H204" s="237" t="s">
        <v>4982</v>
      </c>
      <c r="I204" s="237" t="s">
        <v>21</v>
      </c>
      <c r="J204" s="237" t="s">
        <v>4983</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4984</v>
      </c>
      <c r="B205" s="237" t="s">
        <v>4985</v>
      </c>
      <c r="C205" s="237" t="s">
        <v>4986</v>
      </c>
      <c r="D205" s="237" t="s">
        <v>21</v>
      </c>
      <c r="E205" s="237" t="s">
        <v>21</v>
      </c>
      <c r="F205" s="237" t="s">
        <v>21</v>
      </c>
      <c r="G205" s="237" t="s">
        <v>21</v>
      </c>
      <c r="H205" s="237" t="s">
        <v>4987</v>
      </c>
      <c r="I205" s="237" t="s">
        <v>4988</v>
      </c>
      <c r="J205" s="237" t="s">
        <v>4989</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4990</v>
      </c>
      <c r="B206" s="237" t="s">
        <v>4991</v>
      </c>
      <c r="C206" s="237" t="s">
        <v>4992</v>
      </c>
      <c r="D206" s="237" t="s">
        <v>21</v>
      </c>
      <c r="E206" s="237" t="s">
        <v>21</v>
      </c>
      <c r="F206" s="237" t="s">
        <v>21</v>
      </c>
      <c r="G206" s="237" t="s">
        <v>21</v>
      </c>
      <c r="H206" s="237" t="s">
        <v>4993</v>
      </c>
      <c r="I206" s="237" t="s">
        <v>21</v>
      </c>
      <c r="J206" s="237" t="s">
        <v>4994</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4995</v>
      </c>
      <c r="B207" s="237" t="s">
        <v>4996</v>
      </c>
      <c r="C207" s="237" t="s">
        <v>4992</v>
      </c>
      <c r="D207" s="237" t="s">
        <v>4997</v>
      </c>
      <c r="E207" s="237" t="s">
        <v>21</v>
      </c>
      <c r="F207" s="237" t="s">
        <v>21</v>
      </c>
      <c r="G207" s="237" t="s">
        <v>21</v>
      </c>
      <c r="H207" s="237" t="s">
        <v>4998</v>
      </c>
      <c r="I207" s="237" t="s">
        <v>21</v>
      </c>
      <c r="J207" s="237" t="s">
        <v>4999</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5000</v>
      </c>
      <c r="B208" s="237" t="s">
        <v>5001</v>
      </c>
      <c r="C208" s="237" t="s">
        <v>5002</v>
      </c>
      <c r="D208" s="237" t="s">
        <v>4997</v>
      </c>
      <c r="E208" s="237" t="s">
        <v>21</v>
      </c>
      <c r="F208" s="237" t="s">
        <v>5003</v>
      </c>
      <c r="G208" s="237" t="s">
        <v>5004</v>
      </c>
      <c r="H208" s="237" t="s">
        <v>5005</v>
      </c>
      <c r="I208" s="237" t="s">
        <v>5006</v>
      </c>
      <c r="J208" s="237" t="s">
        <v>5007</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5008</v>
      </c>
      <c r="B209" s="237" t="s">
        <v>5009</v>
      </c>
      <c r="C209" s="237" t="s">
        <v>5010</v>
      </c>
      <c r="D209" s="237" t="s">
        <v>5011</v>
      </c>
      <c r="E209" s="237" t="s">
        <v>21</v>
      </c>
      <c r="F209" s="237" t="s">
        <v>5003</v>
      </c>
      <c r="G209" s="237" t="s">
        <v>5012</v>
      </c>
      <c r="H209" s="237" t="s">
        <v>5013</v>
      </c>
      <c r="I209" s="237" t="s">
        <v>5006</v>
      </c>
      <c r="J209" s="237" t="s">
        <v>5014</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1485</v>
      </c>
      <c r="B210" s="236" t="s">
        <v>5015</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5016</v>
      </c>
      <c r="B211" s="237" t="s">
        <v>5017</v>
      </c>
      <c r="C211" s="237" t="s">
        <v>5018</v>
      </c>
      <c r="D211" s="237" t="s">
        <v>5019</v>
      </c>
      <c r="E211" s="237" t="s">
        <v>21</v>
      </c>
      <c r="F211" s="237" t="s">
        <v>21</v>
      </c>
      <c r="G211" s="237" t="s">
        <v>5020</v>
      </c>
      <c r="H211" s="237" t="s">
        <v>5021</v>
      </c>
      <c r="I211" s="237" t="s">
        <v>5022</v>
      </c>
      <c r="J211" s="237" t="s">
        <v>5023</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5024</v>
      </c>
      <c r="B212" s="237" t="s">
        <v>5025</v>
      </c>
      <c r="C212" s="237" t="s">
        <v>5026</v>
      </c>
      <c r="D212" s="237" t="s">
        <v>5027</v>
      </c>
      <c r="E212" s="237" t="s">
        <v>21</v>
      </c>
      <c r="F212" s="237" t="s">
        <v>5028</v>
      </c>
      <c r="G212" s="237" t="s">
        <v>21</v>
      </c>
      <c r="H212" s="237" t="s">
        <v>21</v>
      </c>
      <c r="I212" s="237" t="s">
        <v>21</v>
      </c>
      <c r="J212" s="237" t="s">
        <v>5029</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5030</v>
      </c>
      <c r="B213" s="237" t="s">
        <v>5031</v>
      </c>
      <c r="C213" s="237" t="s">
        <v>5032</v>
      </c>
      <c r="D213" s="237" t="s">
        <v>5033</v>
      </c>
      <c r="E213" s="237" t="s">
        <v>21</v>
      </c>
      <c r="F213" s="237" t="s">
        <v>5034</v>
      </c>
      <c r="G213" s="237" t="s">
        <v>21</v>
      </c>
      <c r="H213" s="237" t="s">
        <v>5035</v>
      </c>
      <c r="I213" s="237" t="s">
        <v>21</v>
      </c>
      <c r="J213" s="237" t="s">
        <v>5036</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5037</v>
      </c>
      <c r="B214" s="237" t="s">
        <v>5038</v>
      </c>
      <c r="C214" s="237" t="s">
        <v>5039</v>
      </c>
      <c r="D214" s="237" t="s">
        <v>5040</v>
      </c>
      <c r="E214" s="237" t="s">
        <v>21</v>
      </c>
      <c r="F214" s="237" t="s">
        <v>21</v>
      </c>
      <c r="G214" s="237" t="s">
        <v>21</v>
      </c>
      <c r="H214" s="237" t="s">
        <v>5041</v>
      </c>
      <c r="I214" s="237" t="s">
        <v>4376</v>
      </c>
      <c r="J214" s="237" t="s">
        <v>5042</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5043</v>
      </c>
      <c r="B215" s="237" t="s">
        <v>5044</v>
      </c>
      <c r="C215" s="237" t="s">
        <v>5045</v>
      </c>
      <c r="D215" s="237" t="s">
        <v>5046</v>
      </c>
      <c r="E215" s="237" t="s">
        <v>21</v>
      </c>
      <c r="F215" s="237" t="s">
        <v>21</v>
      </c>
      <c r="G215" s="237" t="s">
        <v>21</v>
      </c>
      <c r="H215" s="237" t="s">
        <v>5047</v>
      </c>
      <c r="I215" s="237" t="s">
        <v>21</v>
      </c>
      <c r="J215" s="237" t="s">
        <v>5048</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5049</v>
      </c>
      <c r="B216" s="235" t="s">
        <v>5050</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1499</v>
      </c>
      <c r="B217" s="236" t="s">
        <v>5051</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5052</v>
      </c>
      <c r="B218" s="237" t="s">
        <v>5053</v>
      </c>
      <c r="C218" s="237" t="s">
        <v>5054</v>
      </c>
      <c r="D218" s="237" t="s">
        <v>4148</v>
      </c>
      <c r="E218" s="237" t="s">
        <v>3934</v>
      </c>
      <c r="F218" s="237" t="s">
        <v>21</v>
      </c>
      <c r="G218" s="237" t="s">
        <v>21</v>
      </c>
      <c r="H218" s="237" t="s">
        <v>5055</v>
      </c>
      <c r="I218" s="237" t="s">
        <v>21</v>
      </c>
      <c r="J218" s="237" t="s">
        <v>5056</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5057</v>
      </c>
      <c r="B219" s="237" t="s">
        <v>5058</v>
      </c>
      <c r="C219" s="237" t="s">
        <v>3939</v>
      </c>
      <c r="D219" s="237" t="s">
        <v>3940</v>
      </c>
      <c r="E219" s="237" t="s">
        <v>21</v>
      </c>
      <c r="F219" s="237" t="s">
        <v>3942</v>
      </c>
      <c r="G219" s="237" t="s">
        <v>21</v>
      </c>
      <c r="H219" s="237" t="s">
        <v>5059</v>
      </c>
      <c r="I219" s="237" t="s">
        <v>21</v>
      </c>
      <c r="J219" s="237" t="s">
        <v>5060</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1503</v>
      </c>
      <c r="B220" s="236" t="s">
        <v>5061</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5062</v>
      </c>
      <c r="B221" s="237" t="s">
        <v>5063</v>
      </c>
      <c r="C221" s="237" t="s">
        <v>5064</v>
      </c>
      <c r="D221" s="237" t="s">
        <v>5065</v>
      </c>
      <c r="E221" s="237" t="s">
        <v>21</v>
      </c>
      <c r="F221" s="237" t="s">
        <v>21</v>
      </c>
      <c r="G221" s="237" t="s">
        <v>21</v>
      </c>
      <c r="H221" s="237" t="s">
        <v>5066</v>
      </c>
      <c r="I221" s="237" t="s">
        <v>21</v>
      </c>
      <c r="J221" s="237" t="s">
        <v>5067</v>
      </c>
      <c r="K221" s="240">
        <f>IF(COUNTIF(L221:AY221,"&lt;&gt;")=0,"",SUMPRODUCT(((Recommendations[ImplStatus]="Implemented")+(Recommendations[ImplStatus]="Compensated"))*ISNUMBER(MATCH(Recommendations[Id],L221:AY221,0)))/COUNTIF(L221:AY221,"&lt;&gt;"))</f>
        <v>0</v>
      </c>
      <c r="L221" s="243" t="s">
        <v>36</v>
      </c>
      <c r="M221" s="243" t="s">
        <v>164</v>
      </c>
      <c r="N221" s="243" t="s">
        <v>238</v>
      </c>
      <c r="O221" s="243" t="s">
        <v>540</v>
      </c>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5068</v>
      </c>
      <c r="B222" s="237" t="s">
        <v>5069</v>
      </c>
      <c r="C222" s="237" t="s">
        <v>5070</v>
      </c>
      <c r="D222" s="237" t="s">
        <v>5071</v>
      </c>
      <c r="E222" s="237" t="s">
        <v>21</v>
      </c>
      <c r="F222" s="237" t="s">
        <v>21</v>
      </c>
      <c r="G222" s="237" t="s">
        <v>21</v>
      </c>
      <c r="H222" s="237" t="s">
        <v>5072</v>
      </c>
      <c r="I222" s="237" t="s">
        <v>21</v>
      </c>
      <c r="J222" s="237" t="s">
        <v>5073</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5074</v>
      </c>
      <c r="B223" s="237" t="s">
        <v>5075</v>
      </c>
      <c r="C223" s="237" t="s">
        <v>5076</v>
      </c>
      <c r="D223" s="237" t="s">
        <v>21</v>
      </c>
      <c r="E223" s="237" t="s">
        <v>5077</v>
      </c>
      <c r="F223" s="237" t="s">
        <v>21</v>
      </c>
      <c r="G223" s="237" t="s">
        <v>21</v>
      </c>
      <c r="H223" s="237" t="s">
        <v>5078</v>
      </c>
      <c r="I223" s="237" t="s">
        <v>21</v>
      </c>
      <c r="J223" s="237" t="s">
        <v>5079</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5080</v>
      </c>
      <c r="B224" s="237" t="s">
        <v>5081</v>
      </c>
      <c r="C224" s="237" t="s">
        <v>5082</v>
      </c>
      <c r="D224" s="237" t="s">
        <v>21</v>
      </c>
      <c r="E224" s="237" t="s">
        <v>21</v>
      </c>
      <c r="F224" s="237" t="s">
        <v>21</v>
      </c>
      <c r="G224" s="237" t="s">
        <v>21</v>
      </c>
      <c r="H224" s="237" t="s">
        <v>5083</v>
      </c>
      <c r="I224" s="237" t="s">
        <v>21</v>
      </c>
      <c r="J224" s="237" t="s">
        <v>5084</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5085</v>
      </c>
      <c r="B225" s="237" t="s">
        <v>5086</v>
      </c>
      <c r="C225" s="237" t="s">
        <v>5087</v>
      </c>
      <c r="D225" s="237" t="s">
        <v>21</v>
      </c>
      <c r="E225" s="237" t="s">
        <v>21</v>
      </c>
      <c r="F225" s="237" t="s">
        <v>21</v>
      </c>
      <c r="G225" s="237" t="s">
        <v>21</v>
      </c>
      <c r="H225" s="237" t="s">
        <v>5088</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5089</v>
      </c>
      <c r="B226" s="237" t="s">
        <v>5090</v>
      </c>
      <c r="C226" s="237" t="s">
        <v>5091</v>
      </c>
      <c r="D226" s="237" t="s">
        <v>21</v>
      </c>
      <c r="E226" s="237" t="s">
        <v>21</v>
      </c>
      <c r="F226" s="237" t="s">
        <v>21</v>
      </c>
      <c r="G226" s="237" t="s">
        <v>21</v>
      </c>
      <c r="H226" s="237" t="s">
        <v>5092</v>
      </c>
      <c r="I226" s="237" t="s">
        <v>21</v>
      </c>
      <c r="J226" s="237" t="s">
        <v>5093</v>
      </c>
      <c r="K226" s="240">
        <f>IF(COUNTIF(L226:AY226,"&lt;&gt;")=0,"",SUMPRODUCT(((Recommendations[ImplStatus]="Implemented")+(Recommendations[ImplStatus]="Compensated"))*ISNUMBER(MATCH(Recommendations[Id],L226:AY226,0)))/COUNTIF(L226:AY226,"&lt;&gt;"))</f>
        <v>0</v>
      </c>
      <c r="L226" s="243" t="s">
        <v>577</v>
      </c>
      <c r="M226" s="243" t="s">
        <v>582</v>
      </c>
      <c r="N226" s="243" t="s">
        <v>586</v>
      </c>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5094</v>
      </c>
      <c r="B227" s="237" t="s">
        <v>5095</v>
      </c>
      <c r="C227" s="237" t="s">
        <v>5096</v>
      </c>
      <c r="D227" s="237" t="s">
        <v>21</v>
      </c>
      <c r="E227" s="237" t="s">
        <v>21</v>
      </c>
      <c r="F227" s="237" t="s">
        <v>21</v>
      </c>
      <c r="G227" s="237" t="s">
        <v>21</v>
      </c>
      <c r="H227" s="237" t="s">
        <v>5097</v>
      </c>
      <c r="I227" s="237" t="s">
        <v>21</v>
      </c>
      <c r="J227" s="237" t="s">
        <v>5098</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5099</v>
      </c>
      <c r="B228" s="237" t="s">
        <v>5100</v>
      </c>
      <c r="C228" s="237" t="s">
        <v>5101</v>
      </c>
      <c r="D228" s="237" t="s">
        <v>21</v>
      </c>
      <c r="E228" s="237" t="s">
        <v>21</v>
      </c>
      <c r="F228" s="237" t="s">
        <v>21</v>
      </c>
      <c r="G228" s="237" t="s">
        <v>21</v>
      </c>
      <c r="H228" s="237" t="s">
        <v>5102</v>
      </c>
      <c r="I228" s="237" t="s">
        <v>21</v>
      </c>
      <c r="J228" s="237" t="s">
        <v>5103</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5104</v>
      </c>
      <c r="B229" s="237" t="s">
        <v>5105</v>
      </c>
      <c r="C229" s="237" t="s">
        <v>5106</v>
      </c>
      <c r="D229" s="237" t="s">
        <v>21</v>
      </c>
      <c r="E229" s="237" t="s">
        <v>21</v>
      </c>
      <c r="F229" s="237" t="s">
        <v>21</v>
      </c>
      <c r="G229" s="237" t="s">
        <v>21</v>
      </c>
      <c r="H229" s="237" t="s">
        <v>5107</v>
      </c>
      <c r="I229" s="237" t="s">
        <v>21</v>
      </c>
      <c r="J229" s="237" t="s">
        <v>5108</v>
      </c>
      <c r="K229" s="240">
        <f>IF(COUNTIF(L229:AY229,"&lt;&gt;")=0,"",SUMPRODUCT(((Recommendations[ImplStatus]="Implemented")+(Recommendations[ImplStatus]="Compensated"))*ISNUMBER(MATCH(Recommendations[Id],L229:AY229,0)))/COUNTIF(L229:AY229,"&lt;&gt;"))</f>
        <v>0</v>
      </c>
      <c r="L229" s="243" t="s">
        <v>164</v>
      </c>
      <c r="M229" s="243" t="s">
        <v>540</v>
      </c>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1507</v>
      </c>
      <c r="B230" s="236" t="s">
        <v>5109</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5110</v>
      </c>
      <c r="B231" s="237" t="s">
        <v>5111</v>
      </c>
      <c r="C231" s="237" t="s">
        <v>5112</v>
      </c>
      <c r="D231" s="237" t="s">
        <v>5113</v>
      </c>
      <c r="E231" s="237" t="s">
        <v>21</v>
      </c>
      <c r="F231" s="237" t="s">
        <v>21</v>
      </c>
      <c r="G231" s="237" t="s">
        <v>21</v>
      </c>
      <c r="H231" s="237" t="s">
        <v>5114</v>
      </c>
      <c r="I231" s="237" t="s">
        <v>21</v>
      </c>
      <c r="J231" s="237" t="s">
        <v>5115</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5116</v>
      </c>
      <c r="B232" s="237" t="s">
        <v>5117</v>
      </c>
      <c r="C232" s="237" t="s">
        <v>5118</v>
      </c>
      <c r="D232" s="237" t="s">
        <v>5119</v>
      </c>
      <c r="E232" s="237" t="s">
        <v>21</v>
      </c>
      <c r="F232" s="237" t="s">
        <v>21</v>
      </c>
      <c r="G232" s="237" t="s">
        <v>21</v>
      </c>
      <c r="H232" s="237" t="s">
        <v>5120</v>
      </c>
      <c r="I232" s="237" t="s">
        <v>21</v>
      </c>
      <c r="J232" s="237" t="s">
        <v>5121</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5122</v>
      </c>
      <c r="B233" s="237" t="s">
        <v>5123</v>
      </c>
      <c r="C233" s="237" t="s">
        <v>5124</v>
      </c>
      <c r="D233" s="237" t="s">
        <v>5125</v>
      </c>
      <c r="E233" s="237" t="s">
        <v>21</v>
      </c>
      <c r="F233" s="237" t="s">
        <v>21</v>
      </c>
      <c r="G233" s="237" t="s">
        <v>21</v>
      </c>
      <c r="H233" s="237" t="s">
        <v>5126</v>
      </c>
      <c r="I233" s="237" t="s">
        <v>21</v>
      </c>
      <c r="J233" s="237" t="s">
        <v>5127</v>
      </c>
      <c r="K233" s="240">
        <f>IF(COUNTIF(L233:AY233,"&lt;&gt;")=0,"",SUMPRODUCT(((Recommendations[ImplStatus]="Implemented")+(Recommendations[ImplStatus]="Compensated"))*ISNUMBER(MATCH(Recommendations[Id],L233:AY233,0)))/COUNTIF(L233:AY233,"&lt;&gt;"))</f>
        <v>0</v>
      </c>
      <c r="L233" s="243" t="s">
        <v>36</v>
      </c>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5128</v>
      </c>
      <c r="B234" s="237" t="s">
        <v>5129</v>
      </c>
      <c r="C234" s="237" t="s">
        <v>5130</v>
      </c>
      <c r="D234" s="237" t="s">
        <v>5131</v>
      </c>
      <c r="E234" s="237" t="s">
        <v>21</v>
      </c>
      <c r="F234" s="237" t="s">
        <v>21</v>
      </c>
      <c r="G234" s="237" t="s">
        <v>21</v>
      </c>
      <c r="H234" s="237" t="s">
        <v>5132</v>
      </c>
      <c r="I234" s="237" t="s">
        <v>21</v>
      </c>
      <c r="J234" s="237" t="s">
        <v>5133</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1511</v>
      </c>
      <c r="B235" s="236" t="s">
        <v>5134</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5135</v>
      </c>
      <c r="B236" s="237" t="s">
        <v>5136</v>
      </c>
      <c r="C236" s="237" t="s">
        <v>5137</v>
      </c>
      <c r="D236" s="237" t="s">
        <v>5138</v>
      </c>
      <c r="E236" s="237" t="s">
        <v>21</v>
      </c>
      <c r="F236" s="237" t="s">
        <v>21</v>
      </c>
      <c r="G236" s="237" t="s">
        <v>21</v>
      </c>
      <c r="H236" s="237" t="s">
        <v>5139</v>
      </c>
      <c r="I236" s="237" t="s">
        <v>21</v>
      </c>
      <c r="J236" s="237" t="s">
        <v>5140</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5141</v>
      </c>
      <c r="B237" s="237" t="s">
        <v>5142</v>
      </c>
      <c r="C237" s="237" t="s">
        <v>5143</v>
      </c>
      <c r="D237" s="237" t="s">
        <v>5144</v>
      </c>
      <c r="E237" s="237" t="s">
        <v>21</v>
      </c>
      <c r="F237" s="237" t="s">
        <v>21</v>
      </c>
      <c r="G237" s="237" t="s">
        <v>5145</v>
      </c>
      <c r="H237" s="237" t="s">
        <v>5146</v>
      </c>
      <c r="I237" s="237" t="s">
        <v>4376</v>
      </c>
      <c r="J237" s="237" t="s">
        <v>5147</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5148</v>
      </c>
      <c r="B238" s="237" t="s">
        <v>5149</v>
      </c>
      <c r="C238" s="237" t="s">
        <v>5150</v>
      </c>
      <c r="D238" s="237" t="s">
        <v>21</v>
      </c>
      <c r="E238" s="237" t="s">
        <v>21</v>
      </c>
      <c r="F238" s="237" t="s">
        <v>21</v>
      </c>
      <c r="G238" s="237" t="s">
        <v>21</v>
      </c>
      <c r="H238" s="237" t="s">
        <v>5151</v>
      </c>
      <c r="I238" s="237" t="s">
        <v>5152</v>
      </c>
      <c r="J238" s="237" t="s">
        <v>5153</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5154</v>
      </c>
      <c r="B239" s="237" t="s">
        <v>5155</v>
      </c>
      <c r="C239" s="237" t="s">
        <v>5156</v>
      </c>
      <c r="D239" s="237" t="s">
        <v>21</v>
      </c>
      <c r="E239" s="237" t="s">
        <v>21</v>
      </c>
      <c r="F239" s="237" t="s">
        <v>21</v>
      </c>
      <c r="G239" s="237" t="s">
        <v>21</v>
      </c>
      <c r="H239" s="237" t="s">
        <v>5157</v>
      </c>
      <c r="I239" s="237" t="s">
        <v>4376</v>
      </c>
      <c r="J239" s="237" t="s">
        <v>5158</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5159</v>
      </c>
      <c r="B240" s="237" t="s">
        <v>5160</v>
      </c>
      <c r="C240" s="237" t="s">
        <v>5161</v>
      </c>
      <c r="D240" s="237" t="s">
        <v>5162</v>
      </c>
      <c r="E240" s="237" t="s">
        <v>21</v>
      </c>
      <c r="F240" s="237" t="s">
        <v>21</v>
      </c>
      <c r="G240" s="237" t="s">
        <v>21</v>
      </c>
      <c r="H240" s="237" t="s">
        <v>5163</v>
      </c>
      <c r="I240" s="237" t="s">
        <v>21</v>
      </c>
      <c r="J240" s="237" t="s">
        <v>5164</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1515</v>
      </c>
      <c r="B241" s="236" t="s">
        <v>5165</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5166</v>
      </c>
      <c r="B242" s="237" t="s">
        <v>5167</v>
      </c>
      <c r="C242" s="237" t="s">
        <v>5168</v>
      </c>
      <c r="D242" s="237" t="s">
        <v>21</v>
      </c>
      <c r="E242" s="237" t="s">
        <v>21</v>
      </c>
      <c r="F242" s="237" t="s">
        <v>5169</v>
      </c>
      <c r="G242" s="237" t="s">
        <v>21</v>
      </c>
      <c r="H242" s="237" t="s">
        <v>5170</v>
      </c>
      <c r="I242" s="237" t="s">
        <v>21</v>
      </c>
      <c r="J242" s="237" t="s">
        <v>5171</v>
      </c>
      <c r="K242" s="240">
        <f>IF(COUNTIF(L242:AY242,"&lt;&gt;")=0,"",SUMPRODUCT(((Recommendations[ImplStatus]="Implemented")+(Recommendations[ImplStatus]="Compensated"))*ISNUMBER(MATCH(Recommendations[Id],L242:AY242,0)))/COUNTIF(L242:AY242,"&lt;&gt;"))</f>
        <v>0</v>
      </c>
      <c r="L242" s="243" t="s">
        <v>238</v>
      </c>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1519</v>
      </c>
      <c r="B243" s="236" t="s">
        <v>5172</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5173</v>
      </c>
      <c r="B244" s="237" t="s">
        <v>5174</v>
      </c>
      <c r="C244" s="237" t="s">
        <v>5175</v>
      </c>
      <c r="D244" s="237" t="s">
        <v>21</v>
      </c>
      <c r="E244" s="237" t="s">
        <v>21</v>
      </c>
      <c r="F244" s="237" t="s">
        <v>5176</v>
      </c>
      <c r="G244" s="237" t="s">
        <v>21</v>
      </c>
      <c r="H244" s="237" t="s">
        <v>5177</v>
      </c>
      <c r="I244" s="237" t="s">
        <v>5178</v>
      </c>
      <c r="J244" s="237" t="s">
        <v>5179</v>
      </c>
      <c r="K244" s="240">
        <f>IF(COUNTIF(L244:AY244,"&lt;&gt;")=0,"",SUMPRODUCT(((Recommendations[ImplStatus]="Implemented")+(Recommendations[ImplStatus]="Compensated"))*ISNUMBER(MATCH(Recommendations[Id],L244:AY244,0)))/COUNTIF(L244:AY244,"&lt;&gt;"))</f>
        <v>0</v>
      </c>
      <c r="L244" s="243" t="s">
        <v>243</v>
      </c>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5180</v>
      </c>
      <c r="B245" s="237" t="s">
        <v>5181</v>
      </c>
      <c r="C245" s="237" t="s">
        <v>5182</v>
      </c>
      <c r="D245" s="237" t="s">
        <v>5183</v>
      </c>
      <c r="E245" s="237" t="s">
        <v>21</v>
      </c>
      <c r="F245" s="237" t="s">
        <v>21</v>
      </c>
      <c r="G245" s="237" t="s">
        <v>21</v>
      </c>
      <c r="H245" s="237" t="s">
        <v>5184</v>
      </c>
      <c r="I245" s="237" t="s">
        <v>21</v>
      </c>
      <c r="J245" s="237" t="s">
        <v>5185</v>
      </c>
      <c r="K245" s="240">
        <f>IF(COUNTIF(L245:AY245,"&lt;&gt;")=0,"",SUMPRODUCT(((Recommendations[ImplStatus]="Implemented")+(Recommendations[ImplStatus]="Compensated"))*ISNUMBER(MATCH(Recommendations[Id],L245:AY245,0)))/COUNTIF(L245:AY245,"&lt;&gt;"))</f>
        <v>0</v>
      </c>
      <c r="L245" s="243" t="s">
        <v>243</v>
      </c>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5186</v>
      </c>
      <c r="B246" s="237" t="s">
        <v>5187</v>
      </c>
      <c r="C246" s="237" t="s">
        <v>5188</v>
      </c>
      <c r="D246" s="237" t="s">
        <v>21</v>
      </c>
      <c r="E246" s="237" t="s">
        <v>21</v>
      </c>
      <c r="F246" s="237" t="s">
        <v>21</v>
      </c>
      <c r="G246" s="237" t="s">
        <v>21</v>
      </c>
      <c r="H246" s="237" t="s">
        <v>5189</v>
      </c>
      <c r="I246" s="237" t="s">
        <v>21</v>
      </c>
      <c r="J246" s="237" t="s">
        <v>5190</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1523</v>
      </c>
      <c r="B247" s="236" t="s">
        <v>5191</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5192</v>
      </c>
      <c r="B248" s="237" t="s">
        <v>5193</v>
      </c>
      <c r="C248" s="237" t="s">
        <v>5194</v>
      </c>
      <c r="D248" s="237" t="s">
        <v>5195</v>
      </c>
      <c r="E248" s="237" t="s">
        <v>21</v>
      </c>
      <c r="F248" s="237" t="s">
        <v>21</v>
      </c>
      <c r="G248" s="237" t="s">
        <v>21</v>
      </c>
      <c r="H248" s="237" t="s">
        <v>5196</v>
      </c>
      <c r="I248" s="237" t="s">
        <v>5197</v>
      </c>
      <c r="J248" s="237" t="s">
        <v>5198</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5199</v>
      </c>
      <c r="B249" s="237" t="s">
        <v>5200</v>
      </c>
      <c r="C249" s="237" t="s">
        <v>5194</v>
      </c>
      <c r="D249" s="237" t="s">
        <v>5201</v>
      </c>
      <c r="E249" s="237" t="s">
        <v>21</v>
      </c>
      <c r="F249" s="237" t="s">
        <v>21</v>
      </c>
      <c r="G249" s="237" t="s">
        <v>21</v>
      </c>
      <c r="H249" s="237" t="s">
        <v>5196</v>
      </c>
      <c r="I249" s="237" t="s">
        <v>5202</v>
      </c>
      <c r="J249" s="237" t="s">
        <v>5203</v>
      </c>
      <c r="K249" s="240">
        <f>IF(COUNTIF(L249:AY249,"&lt;&gt;")=0,"",SUMPRODUCT(((Recommendations[ImplStatus]="Implemented")+(Recommendations[ImplStatus]="Compensated"))*ISNUMBER(MATCH(Recommendations[Id],L249:AY249,0)))/COUNTIF(L249:AY249,"&lt;&gt;"))</f>
        <v>0</v>
      </c>
      <c r="L249" s="243" t="s">
        <v>408</v>
      </c>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5204</v>
      </c>
      <c r="B250" s="237" t="s">
        <v>5205</v>
      </c>
      <c r="C250" s="237" t="s">
        <v>5206</v>
      </c>
      <c r="D250" s="237" t="s">
        <v>5207</v>
      </c>
      <c r="E250" s="237" t="s">
        <v>21</v>
      </c>
      <c r="F250" s="237" t="s">
        <v>21</v>
      </c>
      <c r="G250" s="237" t="s">
        <v>21</v>
      </c>
      <c r="H250" s="237" t="s">
        <v>5208</v>
      </c>
      <c r="I250" s="237" t="s">
        <v>21</v>
      </c>
      <c r="J250" s="237" t="s">
        <v>5209</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5210</v>
      </c>
      <c r="B251" s="235" t="s">
        <v>5211</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1529</v>
      </c>
      <c r="B252" s="236" t="s">
        <v>5212</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5213</v>
      </c>
      <c r="B253" s="237" t="s">
        <v>5214</v>
      </c>
      <c r="C253" s="237" t="s">
        <v>5215</v>
      </c>
      <c r="D253" s="237" t="s">
        <v>4148</v>
      </c>
      <c r="E253" s="237" t="s">
        <v>3934</v>
      </c>
      <c r="F253" s="237" t="s">
        <v>21</v>
      </c>
      <c r="G253" s="237" t="s">
        <v>21</v>
      </c>
      <c r="H253" s="237" t="s">
        <v>5216</v>
      </c>
      <c r="I253" s="237" t="s">
        <v>21</v>
      </c>
      <c r="J253" s="237" t="s">
        <v>5217</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5218</v>
      </c>
      <c r="B254" s="237" t="s">
        <v>5219</v>
      </c>
      <c r="C254" s="237" t="s">
        <v>3939</v>
      </c>
      <c r="D254" s="237" t="s">
        <v>3940</v>
      </c>
      <c r="E254" s="237" t="s">
        <v>21</v>
      </c>
      <c r="F254" s="237" t="s">
        <v>3942</v>
      </c>
      <c r="G254" s="237" t="s">
        <v>21</v>
      </c>
      <c r="H254" s="237" t="s">
        <v>5220</v>
      </c>
      <c r="I254" s="237" t="s">
        <v>21</v>
      </c>
      <c r="J254" s="237" t="s">
        <v>5221</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1533</v>
      </c>
      <c r="B255" s="236" t="s">
        <v>5222</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5223</v>
      </c>
      <c r="B256" s="237" t="s">
        <v>5224</v>
      </c>
      <c r="C256" s="237" t="s">
        <v>5225</v>
      </c>
      <c r="D256" s="237" t="s">
        <v>5226</v>
      </c>
      <c r="E256" s="237" t="s">
        <v>5227</v>
      </c>
      <c r="F256" s="237" t="s">
        <v>5228</v>
      </c>
      <c r="G256" s="237" t="s">
        <v>21</v>
      </c>
      <c r="H256" s="237" t="s">
        <v>5229</v>
      </c>
      <c r="I256" s="237" t="s">
        <v>21</v>
      </c>
      <c r="J256" s="237" t="s">
        <v>5230</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5231</v>
      </c>
      <c r="B257" s="237" t="s">
        <v>5232</v>
      </c>
      <c r="C257" s="237" t="s">
        <v>5233</v>
      </c>
      <c r="D257" s="237" t="s">
        <v>5234</v>
      </c>
      <c r="E257" s="237" t="s">
        <v>21</v>
      </c>
      <c r="F257" s="237" t="s">
        <v>21</v>
      </c>
      <c r="G257" s="237" t="s">
        <v>21</v>
      </c>
      <c r="H257" s="237" t="s">
        <v>5235</v>
      </c>
      <c r="I257" s="237" t="s">
        <v>21</v>
      </c>
      <c r="J257" s="237" t="s">
        <v>5236</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1538</v>
      </c>
      <c r="B258" s="236" t="s">
        <v>5237</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5238</v>
      </c>
      <c r="B259" s="237" t="s">
        <v>5239</v>
      </c>
      <c r="C259" s="237" t="s">
        <v>5240</v>
      </c>
      <c r="D259" s="237" t="s">
        <v>5241</v>
      </c>
      <c r="E259" s="237" t="s">
        <v>5242</v>
      </c>
      <c r="F259" s="237" t="s">
        <v>21</v>
      </c>
      <c r="G259" s="237" t="s">
        <v>21</v>
      </c>
      <c r="H259" s="237" t="s">
        <v>5243</v>
      </c>
      <c r="I259" s="237" t="s">
        <v>21</v>
      </c>
      <c r="J259" s="237" t="s">
        <v>5244</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5245</v>
      </c>
      <c r="B260" s="237" t="s">
        <v>5246</v>
      </c>
      <c r="C260" s="237" t="s">
        <v>5247</v>
      </c>
      <c r="D260" s="237" t="s">
        <v>21</v>
      </c>
      <c r="E260" s="237" t="s">
        <v>21</v>
      </c>
      <c r="F260" s="237" t="s">
        <v>21</v>
      </c>
      <c r="G260" s="237" t="s">
        <v>21</v>
      </c>
      <c r="H260" s="237" t="s">
        <v>5248</v>
      </c>
      <c r="I260" s="237" t="s">
        <v>5249</v>
      </c>
      <c r="J260" s="237" t="s">
        <v>5250</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5251</v>
      </c>
      <c r="B261" s="237" t="s">
        <v>5252</v>
      </c>
      <c r="C261" s="237" t="s">
        <v>5253</v>
      </c>
      <c r="D261" s="237" t="s">
        <v>5254</v>
      </c>
      <c r="E261" s="237" t="s">
        <v>21</v>
      </c>
      <c r="F261" s="237" t="s">
        <v>21</v>
      </c>
      <c r="G261" s="237" t="s">
        <v>21</v>
      </c>
      <c r="H261" s="237" t="s">
        <v>5255</v>
      </c>
      <c r="I261" s="237" t="s">
        <v>5256</v>
      </c>
      <c r="J261" s="237" t="s">
        <v>5257</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5258</v>
      </c>
      <c r="B262" s="237" t="s">
        <v>5259</v>
      </c>
      <c r="C262" s="237" t="s">
        <v>5260</v>
      </c>
      <c r="D262" s="237" t="s">
        <v>5261</v>
      </c>
      <c r="E262" s="237" t="s">
        <v>21</v>
      </c>
      <c r="F262" s="237" t="s">
        <v>21</v>
      </c>
      <c r="G262" s="237" t="s">
        <v>21</v>
      </c>
      <c r="H262" s="237" t="s">
        <v>5262</v>
      </c>
      <c r="I262" s="237" t="s">
        <v>5263</v>
      </c>
      <c r="J262" s="237" t="s">
        <v>5264</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5265</v>
      </c>
      <c r="B263" s="237" t="s">
        <v>5266</v>
      </c>
      <c r="C263" s="237" t="s">
        <v>5267</v>
      </c>
      <c r="D263" s="237" t="s">
        <v>5268</v>
      </c>
      <c r="E263" s="237" t="s">
        <v>21</v>
      </c>
      <c r="F263" s="237" t="s">
        <v>21</v>
      </c>
      <c r="G263" s="237" t="s">
        <v>5269</v>
      </c>
      <c r="H263" s="237" t="s">
        <v>4172</v>
      </c>
      <c r="I263" s="237" t="s">
        <v>5270</v>
      </c>
      <c r="J263" s="237" t="s">
        <v>5271</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5272</v>
      </c>
      <c r="B264" s="237" t="s">
        <v>5273</v>
      </c>
      <c r="C264" s="237" t="s">
        <v>5260</v>
      </c>
      <c r="D264" s="237" t="s">
        <v>5274</v>
      </c>
      <c r="E264" s="237" t="s">
        <v>21</v>
      </c>
      <c r="F264" s="237" t="s">
        <v>21</v>
      </c>
      <c r="G264" s="237" t="s">
        <v>21</v>
      </c>
      <c r="H264" s="237" t="s">
        <v>5275</v>
      </c>
      <c r="I264" s="237" t="s">
        <v>21</v>
      </c>
      <c r="J264" s="237" t="s">
        <v>5276</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1542</v>
      </c>
      <c r="B265" s="236" t="s">
        <v>5277</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5278</v>
      </c>
      <c r="B266" s="237" t="s">
        <v>5279</v>
      </c>
      <c r="C266" s="237" t="s">
        <v>5280</v>
      </c>
      <c r="D266" s="237" t="s">
        <v>5281</v>
      </c>
      <c r="E266" s="237" t="s">
        <v>5282</v>
      </c>
      <c r="F266" s="237" t="s">
        <v>21</v>
      </c>
      <c r="G266" s="237" t="s">
        <v>5283</v>
      </c>
      <c r="H266" s="237" t="s">
        <v>5284</v>
      </c>
      <c r="I266" s="237" t="s">
        <v>5285</v>
      </c>
      <c r="J266" s="237" t="s">
        <v>5286</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5287</v>
      </c>
      <c r="B267" s="237" t="s">
        <v>5288</v>
      </c>
      <c r="C267" s="237" t="s">
        <v>5289</v>
      </c>
      <c r="D267" s="237" t="s">
        <v>5290</v>
      </c>
      <c r="E267" s="237" t="s">
        <v>21</v>
      </c>
      <c r="F267" s="237" t="s">
        <v>21</v>
      </c>
      <c r="G267" s="237" t="s">
        <v>21</v>
      </c>
      <c r="H267" s="237" t="s">
        <v>5291</v>
      </c>
      <c r="I267" s="237" t="s">
        <v>21</v>
      </c>
      <c r="J267" s="237" t="s">
        <v>5292</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5293</v>
      </c>
      <c r="B268" s="237" t="s">
        <v>5294</v>
      </c>
      <c r="C268" s="237" t="s">
        <v>5295</v>
      </c>
      <c r="D268" s="237" t="s">
        <v>5290</v>
      </c>
      <c r="E268" s="237" t="s">
        <v>21</v>
      </c>
      <c r="F268" s="237" t="s">
        <v>21</v>
      </c>
      <c r="G268" s="237" t="s">
        <v>5296</v>
      </c>
      <c r="H268" s="237" t="s">
        <v>5297</v>
      </c>
      <c r="I268" s="237" t="s">
        <v>21</v>
      </c>
      <c r="J268" s="237" t="s">
        <v>5298</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5299</v>
      </c>
      <c r="B269" s="237" t="s">
        <v>5300</v>
      </c>
      <c r="C269" s="237" t="s">
        <v>5295</v>
      </c>
      <c r="D269" s="237" t="s">
        <v>5301</v>
      </c>
      <c r="E269" s="237" t="s">
        <v>21</v>
      </c>
      <c r="F269" s="237" t="s">
        <v>21</v>
      </c>
      <c r="G269" s="237" t="s">
        <v>21</v>
      </c>
      <c r="H269" s="237" t="s">
        <v>5302</v>
      </c>
      <c r="I269" s="237" t="s">
        <v>21</v>
      </c>
      <c r="J269" s="237" t="s">
        <v>5303</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5304</v>
      </c>
      <c r="B270" s="237" t="s">
        <v>5305</v>
      </c>
      <c r="C270" s="237" t="s">
        <v>5306</v>
      </c>
      <c r="D270" s="237" t="s">
        <v>5307</v>
      </c>
      <c r="E270" s="237" t="s">
        <v>21</v>
      </c>
      <c r="F270" s="237" t="s">
        <v>21</v>
      </c>
      <c r="G270" s="237" t="s">
        <v>21</v>
      </c>
      <c r="H270" s="237" t="s">
        <v>5308</v>
      </c>
      <c r="I270" s="237" t="s">
        <v>21</v>
      </c>
      <c r="J270" s="237" t="s">
        <v>5309</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5310</v>
      </c>
      <c r="B271" s="237" t="s">
        <v>5311</v>
      </c>
      <c r="C271" s="237" t="s">
        <v>5312</v>
      </c>
      <c r="D271" s="237" t="s">
        <v>5313</v>
      </c>
      <c r="E271" s="237" t="s">
        <v>21</v>
      </c>
      <c r="F271" s="237" t="s">
        <v>21</v>
      </c>
      <c r="G271" s="237" t="s">
        <v>21</v>
      </c>
      <c r="H271" s="237" t="s">
        <v>5314</v>
      </c>
      <c r="I271" s="237" t="s">
        <v>5315</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5316</v>
      </c>
      <c r="B272" s="237" t="s">
        <v>5317</v>
      </c>
      <c r="C272" s="237" t="s">
        <v>5318</v>
      </c>
      <c r="D272" s="237" t="s">
        <v>5319</v>
      </c>
      <c r="E272" s="237" t="s">
        <v>21</v>
      </c>
      <c r="F272" s="237" t="s">
        <v>21</v>
      </c>
      <c r="G272" s="237" t="s">
        <v>21</v>
      </c>
      <c r="H272" s="237" t="s">
        <v>5320</v>
      </c>
      <c r="I272" s="237" t="s">
        <v>5321</v>
      </c>
      <c r="J272" s="237" t="s">
        <v>5322</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1546</v>
      </c>
      <c r="B273" s="236" t="s">
        <v>5323</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5324</v>
      </c>
      <c r="B274" s="237" t="s">
        <v>5325</v>
      </c>
      <c r="C274" s="237" t="s">
        <v>5326</v>
      </c>
      <c r="D274" s="237" t="s">
        <v>5319</v>
      </c>
      <c r="E274" s="237" t="s">
        <v>5327</v>
      </c>
      <c r="F274" s="237" t="s">
        <v>21</v>
      </c>
      <c r="G274" s="237" t="s">
        <v>21</v>
      </c>
      <c r="H274" s="237" t="s">
        <v>5328</v>
      </c>
      <c r="I274" s="237" t="s">
        <v>21</v>
      </c>
      <c r="J274" s="237" t="s">
        <v>5329</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5330</v>
      </c>
      <c r="B275" s="237" t="s">
        <v>5331</v>
      </c>
      <c r="C275" s="237" t="s">
        <v>5332</v>
      </c>
      <c r="D275" s="237" t="s">
        <v>5333</v>
      </c>
      <c r="E275" s="237" t="s">
        <v>21</v>
      </c>
      <c r="F275" s="237" t="s">
        <v>21</v>
      </c>
      <c r="G275" s="237" t="s">
        <v>21</v>
      </c>
      <c r="H275" s="237" t="s">
        <v>5334</v>
      </c>
      <c r="I275" s="237" t="s">
        <v>21</v>
      </c>
      <c r="J275" s="237" t="s">
        <v>5335</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5336</v>
      </c>
      <c r="B276" s="237" t="s">
        <v>5337</v>
      </c>
      <c r="C276" s="237" t="s">
        <v>5338</v>
      </c>
      <c r="D276" s="237" t="s">
        <v>5339</v>
      </c>
      <c r="E276" s="237" t="s">
        <v>21</v>
      </c>
      <c r="F276" s="237" t="s">
        <v>5340</v>
      </c>
      <c r="G276" s="237" t="s">
        <v>21</v>
      </c>
      <c r="H276" s="237" t="s">
        <v>5341</v>
      </c>
      <c r="I276" s="237" t="s">
        <v>5342</v>
      </c>
      <c r="J276" s="237" t="s">
        <v>5343</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5344</v>
      </c>
      <c r="B277" s="236" t="s">
        <v>5345</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5346</v>
      </c>
      <c r="B278" s="237" t="s">
        <v>5347</v>
      </c>
      <c r="C278" s="237" t="s">
        <v>5348</v>
      </c>
      <c r="D278" s="237" t="s">
        <v>5349</v>
      </c>
      <c r="E278" s="237" t="s">
        <v>21</v>
      </c>
      <c r="F278" s="237" t="s">
        <v>5350</v>
      </c>
      <c r="G278" s="237" t="s">
        <v>21</v>
      </c>
      <c r="H278" s="237" t="s">
        <v>5351</v>
      </c>
      <c r="I278" s="237" t="s">
        <v>21</v>
      </c>
      <c r="J278" s="237" t="s">
        <v>5352</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5353</v>
      </c>
      <c r="B279" s="235" t="s">
        <v>5354</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1552</v>
      </c>
      <c r="B280" s="236" t="s">
        <v>5355</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5356</v>
      </c>
      <c r="B281" s="237" t="s">
        <v>5357</v>
      </c>
      <c r="C281" s="237" t="s">
        <v>5358</v>
      </c>
      <c r="D281" s="237" t="s">
        <v>5359</v>
      </c>
      <c r="E281" s="237" t="s">
        <v>5360</v>
      </c>
      <c r="F281" s="237" t="s">
        <v>21</v>
      </c>
      <c r="G281" s="237" t="s">
        <v>21</v>
      </c>
      <c r="H281" s="237" t="s">
        <v>5361</v>
      </c>
      <c r="I281" s="237" t="s">
        <v>21</v>
      </c>
      <c r="J281" s="237" t="s">
        <v>5362</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5363</v>
      </c>
      <c r="B282" s="237" t="s">
        <v>5364</v>
      </c>
      <c r="C282" s="237" t="s">
        <v>5365</v>
      </c>
      <c r="D282" s="237" t="s">
        <v>21</v>
      </c>
      <c r="E282" s="237" t="s">
        <v>21</v>
      </c>
      <c r="F282" s="237" t="s">
        <v>21</v>
      </c>
      <c r="G282" s="237" t="s">
        <v>21</v>
      </c>
      <c r="H282" s="237" t="s">
        <v>5366</v>
      </c>
      <c r="I282" s="237" t="s">
        <v>21</v>
      </c>
      <c r="J282" s="237" t="s">
        <v>5367</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5368</v>
      </c>
      <c r="B283" s="237" t="s">
        <v>5369</v>
      </c>
      <c r="C283" s="237" t="s">
        <v>5370</v>
      </c>
      <c r="D283" s="237" t="s">
        <v>21</v>
      </c>
      <c r="E283" s="237" t="s">
        <v>21</v>
      </c>
      <c r="F283" s="237" t="s">
        <v>21</v>
      </c>
      <c r="G283" s="237" t="s">
        <v>21</v>
      </c>
      <c r="H283" s="237" t="s">
        <v>5371</v>
      </c>
      <c r="I283" s="237" t="s">
        <v>21</v>
      </c>
      <c r="J283" s="237" t="s">
        <v>5372</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5373</v>
      </c>
      <c r="B284" s="237" t="s">
        <v>5374</v>
      </c>
      <c r="C284" s="237" t="s">
        <v>5375</v>
      </c>
      <c r="D284" s="237" t="s">
        <v>5376</v>
      </c>
      <c r="E284" s="237" t="s">
        <v>21</v>
      </c>
      <c r="F284" s="237" t="s">
        <v>21</v>
      </c>
      <c r="G284" s="237" t="s">
        <v>21</v>
      </c>
      <c r="H284" s="237" t="s">
        <v>5377</v>
      </c>
      <c r="I284" s="237" t="s">
        <v>21</v>
      </c>
      <c r="J284" s="237" t="s">
        <v>5378</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1556</v>
      </c>
      <c r="B285" s="236" t="s">
        <v>5379</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5380</v>
      </c>
      <c r="B286" s="237" t="s">
        <v>5381</v>
      </c>
      <c r="C286" s="237" t="s">
        <v>5382</v>
      </c>
      <c r="D286" s="237" t="s">
        <v>5383</v>
      </c>
      <c r="E286" s="237" t="s">
        <v>21</v>
      </c>
      <c r="F286" s="237" t="s">
        <v>21</v>
      </c>
      <c r="G286" s="237" t="s">
        <v>21</v>
      </c>
      <c r="H286" s="237" t="s">
        <v>5384</v>
      </c>
      <c r="I286" s="237" t="s">
        <v>5385</v>
      </c>
      <c r="J286" s="237" t="s">
        <v>5386</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1560</v>
      </c>
      <c r="B287" s="236" t="s">
        <v>5387</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5388</v>
      </c>
      <c r="B288" s="237" t="s">
        <v>5389</v>
      </c>
      <c r="C288" s="237" t="s">
        <v>5390</v>
      </c>
      <c r="D288" s="237" t="s">
        <v>5391</v>
      </c>
      <c r="E288" s="237" t="s">
        <v>5392</v>
      </c>
      <c r="F288" s="237" t="s">
        <v>5393</v>
      </c>
      <c r="G288" s="237" t="s">
        <v>5394</v>
      </c>
      <c r="H288" s="237" t="s">
        <v>5395</v>
      </c>
      <c r="I288" s="237" t="s">
        <v>4376</v>
      </c>
      <c r="J288" s="237" t="s">
        <v>5396</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5397</v>
      </c>
      <c r="B289" s="237" t="s">
        <v>5398</v>
      </c>
      <c r="C289" s="237" t="s">
        <v>5399</v>
      </c>
      <c r="D289" s="237" t="s">
        <v>21</v>
      </c>
      <c r="E289" s="237" t="s">
        <v>5392</v>
      </c>
      <c r="F289" s="237" t="s">
        <v>21</v>
      </c>
      <c r="G289" s="237" t="s">
        <v>5400</v>
      </c>
      <c r="H289" s="237" t="s">
        <v>5401</v>
      </c>
      <c r="I289" s="237" t="s">
        <v>5402</v>
      </c>
      <c r="J289" s="237" t="s">
        <v>5403</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5404</v>
      </c>
      <c r="B290" s="237" t="s">
        <v>5405</v>
      </c>
      <c r="C290" s="237" t="s">
        <v>5406</v>
      </c>
      <c r="D290" s="237" t="s">
        <v>21</v>
      </c>
      <c r="E290" s="237" t="s">
        <v>5407</v>
      </c>
      <c r="F290" s="237" t="s">
        <v>21</v>
      </c>
      <c r="G290" s="237" t="s">
        <v>5408</v>
      </c>
      <c r="H290" s="237" t="s">
        <v>5409</v>
      </c>
      <c r="I290" s="237" t="s">
        <v>5410</v>
      </c>
      <c r="J290" s="237" t="s">
        <v>5411</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5412</v>
      </c>
      <c r="B291" s="237" t="s">
        <v>5413</v>
      </c>
      <c r="C291" s="237" t="s">
        <v>5414</v>
      </c>
      <c r="D291" s="237" t="s">
        <v>21</v>
      </c>
      <c r="E291" s="237" t="s">
        <v>21</v>
      </c>
      <c r="F291" s="237" t="s">
        <v>21</v>
      </c>
      <c r="G291" s="237" t="s">
        <v>21</v>
      </c>
      <c r="H291" s="237" t="s">
        <v>5415</v>
      </c>
      <c r="I291" s="237" t="s">
        <v>4376</v>
      </c>
      <c r="J291" s="237" t="s">
        <v>5416</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1564</v>
      </c>
      <c r="B292" s="236" t="s">
        <v>5417</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5418</v>
      </c>
      <c r="B293" s="237" t="s">
        <v>5419</v>
      </c>
      <c r="C293" s="237" t="s">
        <v>5420</v>
      </c>
      <c r="D293" s="237" t="s">
        <v>5421</v>
      </c>
      <c r="E293" s="237" t="s">
        <v>21</v>
      </c>
      <c r="F293" s="237" t="s">
        <v>21</v>
      </c>
      <c r="G293" s="237" t="s">
        <v>21</v>
      </c>
      <c r="H293" s="237" t="s">
        <v>5422</v>
      </c>
      <c r="I293" s="237" t="s">
        <v>5423</v>
      </c>
      <c r="J293" s="237" t="s">
        <v>5424</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5425</v>
      </c>
      <c r="B294" s="237" t="s">
        <v>5426</v>
      </c>
      <c r="C294" s="237" t="s">
        <v>5427</v>
      </c>
      <c r="D294" s="237" t="s">
        <v>5421</v>
      </c>
      <c r="E294" s="237" t="s">
        <v>21</v>
      </c>
      <c r="F294" s="237" t="s">
        <v>5428</v>
      </c>
      <c r="G294" s="237" t="s">
        <v>21</v>
      </c>
      <c r="H294" s="237" t="s">
        <v>5429</v>
      </c>
      <c r="I294" s="237" t="s">
        <v>4346</v>
      </c>
      <c r="J294" s="237" t="s">
        <v>5430</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5431</v>
      </c>
      <c r="B295" s="237" t="s">
        <v>5432</v>
      </c>
      <c r="C295" s="237" t="s">
        <v>5433</v>
      </c>
      <c r="D295" s="237" t="s">
        <v>5434</v>
      </c>
      <c r="E295" s="237" t="s">
        <v>21</v>
      </c>
      <c r="F295" s="237" t="s">
        <v>21</v>
      </c>
      <c r="G295" s="237" t="s">
        <v>21</v>
      </c>
      <c r="H295" s="237" t="s">
        <v>5435</v>
      </c>
      <c r="I295" s="237" t="s">
        <v>4346</v>
      </c>
      <c r="J295" s="237" t="s">
        <v>5436</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1568</v>
      </c>
      <c r="B296" s="236" t="s">
        <v>5437</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5438</v>
      </c>
      <c r="B297" s="237" t="s">
        <v>5439</v>
      </c>
      <c r="C297" s="237" t="s">
        <v>5440</v>
      </c>
      <c r="D297" s="237" t="s">
        <v>5434</v>
      </c>
      <c r="E297" s="237" t="s">
        <v>21</v>
      </c>
      <c r="F297" s="237" t="s">
        <v>5441</v>
      </c>
      <c r="G297" s="237" t="s">
        <v>21</v>
      </c>
      <c r="H297" s="237" t="s">
        <v>5442</v>
      </c>
      <c r="I297" s="237" t="s">
        <v>21</v>
      </c>
      <c r="J297" s="237" t="s">
        <v>5443</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5444</v>
      </c>
      <c r="B298" s="237" t="s">
        <v>5445</v>
      </c>
      <c r="C298" s="237" t="s">
        <v>5446</v>
      </c>
      <c r="D298" s="237" t="s">
        <v>5447</v>
      </c>
      <c r="E298" s="237" t="s">
        <v>21</v>
      </c>
      <c r="F298" s="237" t="s">
        <v>21</v>
      </c>
      <c r="G298" s="237" t="s">
        <v>5448</v>
      </c>
      <c r="H298" s="237" t="s">
        <v>5449</v>
      </c>
      <c r="I298" s="237" t="s">
        <v>5449</v>
      </c>
      <c r="J298" s="237" t="s">
        <v>5450</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5451</v>
      </c>
      <c r="B299" s="237" t="s">
        <v>5452</v>
      </c>
      <c r="C299" s="237" t="s">
        <v>5453</v>
      </c>
      <c r="D299" s="237" t="s">
        <v>21</v>
      </c>
      <c r="E299" s="237" t="s">
        <v>21</v>
      </c>
      <c r="F299" s="237" t="s">
        <v>21</v>
      </c>
      <c r="G299" s="237" t="s">
        <v>21</v>
      </c>
      <c r="H299" s="237" t="s">
        <v>5454</v>
      </c>
      <c r="I299" s="237" t="s">
        <v>5455</v>
      </c>
      <c r="J299" s="237" t="s">
        <v>5456</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5457</v>
      </c>
      <c r="B300" s="237" t="s">
        <v>5458</v>
      </c>
      <c r="C300" s="237" t="s">
        <v>5459</v>
      </c>
      <c r="D300" s="237" t="s">
        <v>21</v>
      </c>
      <c r="E300" s="237" t="s">
        <v>21</v>
      </c>
      <c r="F300" s="237" t="s">
        <v>5460</v>
      </c>
      <c r="G300" s="237" t="s">
        <v>21</v>
      </c>
      <c r="H300" s="237" t="s">
        <v>5461</v>
      </c>
      <c r="I300" s="237" t="s">
        <v>5455</v>
      </c>
      <c r="J300" s="237" t="s">
        <v>5462</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1572</v>
      </c>
      <c r="B301" s="236" t="s">
        <v>5463</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5464</v>
      </c>
      <c r="B302" s="237" t="s">
        <v>5465</v>
      </c>
      <c r="C302" s="237" t="s">
        <v>5466</v>
      </c>
      <c r="D302" s="237" t="s">
        <v>21</v>
      </c>
      <c r="E302" s="237" t="s">
        <v>21</v>
      </c>
      <c r="F302" s="237" t="s">
        <v>21</v>
      </c>
      <c r="G302" s="237" t="s">
        <v>21</v>
      </c>
      <c r="H302" s="237" t="s">
        <v>5467</v>
      </c>
      <c r="I302" s="237" t="s">
        <v>21</v>
      </c>
      <c r="J302" s="237" t="s">
        <v>5468</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5469</v>
      </c>
      <c r="B303" s="237" t="s">
        <v>5470</v>
      </c>
      <c r="C303" s="237" t="s">
        <v>5471</v>
      </c>
      <c r="D303" s="237" t="s">
        <v>5472</v>
      </c>
      <c r="E303" s="237" t="s">
        <v>21</v>
      </c>
      <c r="F303" s="237" t="s">
        <v>21</v>
      </c>
      <c r="G303" s="237" t="s">
        <v>21</v>
      </c>
      <c r="H303" s="237" t="s">
        <v>5473</v>
      </c>
      <c r="I303" s="237" t="s">
        <v>4376</v>
      </c>
      <c r="J303" s="237" t="s">
        <v>5474</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5475</v>
      </c>
      <c r="B304" s="237" t="s">
        <v>5476</v>
      </c>
      <c r="C304" s="237" t="s">
        <v>5477</v>
      </c>
      <c r="D304" s="237" t="s">
        <v>5472</v>
      </c>
      <c r="E304" s="237" t="s">
        <v>21</v>
      </c>
      <c r="F304" s="237" t="s">
        <v>5478</v>
      </c>
      <c r="G304" s="237" t="s">
        <v>21</v>
      </c>
      <c r="H304" s="237" t="s">
        <v>5479</v>
      </c>
      <c r="I304" s="237" t="s">
        <v>21</v>
      </c>
      <c r="J304" s="237" t="s">
        <v>5480</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5481</v>
      </c>
      <c r="B305" s="237" t="s">
        <v>5482</v>
      </c>
      <c r="C305" s="237" t="s">
        <v>5483</v>
      </c>
      <c r="D305" s="237" t="s">
        <v>5484</v>
      </c>
      <c r="E305" s="237" t="s">
        <v>21</v>
      </c>
      <c r="F305" s="237" t="s">
        <v>21</v>
      </c>
      <c r="G305" s="237" t="s">
        <v>21</v>
      </c>
      <c r="H305" s="237" t="s">
        <v>5485</v>
      </c>
      <c r="I305" s="237" t="s">
        <v>5486</v>
      </c>
      <c r="J305" s="237" t="s">
        <v>5487</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5488</v>
      </c>
      <c r="B306" s="237" t="s">
        <v>5489</v>
      </c>
      <c r="C306" s="237" t="s">
        <v>5490</v>
      </c>
      <c r="D306" s="237" t="s">
        <v>5491</v>
      </c>
      <c r="E306" s="237" t="s">
        <v>21</v>
      </c>
      <c r="F306" s="237" t="s">
        <v>21</v>
      </c>
      <c r="G306" s="237" t="s">
        <v>21</v>
      </c>
      <c r="H306" s="237" t="s">
        <v>5492</v>
      </c>
      <c r="I306" s="237" t="s">
        <v>4376</v>
      </c>
      <c r="J306" s="237" t="s">
        <v>5493</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1576</v>
      </c>
      <c r="B307" s="236" t="s">
        <v>5494</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5495</v>
      </c>
      <c r="B308" s="237" t="s">
        <v>5496</v>
      </c>
      <c r="C308" s="237" t="s">
        <v>5497</v>
      </c>
      <c r="D308" s="237" t="s">
        <v>5491</v>
      </c>
      <c r="E308" s="237" t="s">
        <v>21</v>
      </c>
      <c r="F308" s="237" t="s">
        <v>5498</v>
      </c>
      <c r="G308" s="237" t="s">
        <v>21</v>
      </c>
      <c r="H308" s="237" t="s">
        <v>5499</v>
      </c>
      <c r="I308" s="237" t="s">
        <v>5500</v>
      </c>
      <c r="J308" s="237" t="s">
        <v>5501</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1580</v>
      </c>
      <c r="B309" s="236" t="s">
        <v>5502</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5503</v>
      </c>
      <c r="B310" s="237" t="s">
        <v>5504</v>
      </c>
      <c r="C310" s="237" t="s">
        <v>5505</v>
      </c>
      <c r="D310" s="237" t="s">
        <v>21</v>
      </c>
      <c r="E310" s="237" t="s">
        <v>21</v>
      </c>
      <c r="F310" s="237" t="s">
        <v>5506</v>
      </c>
      <c r="G310" s="237" t="s">
        <v>21</v>
      </c>
      <c r="H310" s="237" t="s">
        <v>5507</v>
      </c>
      <c r="I310" s="237" t="s">
        <v>5508</v>
      </c>
      <c r="J310" s="237" t="s">
        <v>5509</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5510</v>
      </c>
      <c r="B311" s="237" t="s">
        <v>5511</v>
      </c>
      <c r="C311" s="237" t="s">
        <v>5512</v>
      </c>
      <c r="D311" s="237" t="s">
        <v>5513</v>
      </c>
      <c r="E311" s="237" t="s">
        <v>21</v>
      </c>
      <c r="F311" s="237" t="s">
        <v>21</v>
      </c>
      <c r="G311" s="237" t="s">
        <v>5514</v>
      </c>
      <c r="H311" s="237" t="s">
        <v>5515</v>
      </c>
      <c r="I311" s="237" t="s">
        <v>21</v>
      </c>
      <c r="J311" s="237" t="s">
        <v>5516</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5517</v>
      </c>
      <c r="B312" s="237" t="s">
        <v>5518</v>
      </c>
      <c r="C312" s="237" t="s">
        <v>5519</v>
      </c>
      <c r="D312" s="237" t="s">
        <v>5520</v>
      </c>
      <c r="E312" s="237" t="s">
        <v>21</v>
      </c>
      <c r="F312" s="237" t="s">
        <v>21</v>
      </c>
      <c r="G312" s="237" t="s">
        <v>21</v>
      </c>
      <c r="H312" s="237" t="s">
        <v>5521</v>
      </c>
      <c r="I312" s="237" t="s">
        <v>21</v>
      </c>
      <c r="J312" s="237" t="s">
        <v>5522</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5523</v>
      </c>
      <c r="B313" s="237" t="s">
        <v>5524</v>
      </c>
      <c r="C313" s="237" t="s">
        <v>5525</v>
      </c>
      <c r="D313" s="237" t="s">
        <v>5526</v>
      </c>
      <c r="E313" s="237" t="s">
        <v>21</v>
      </c>
      <c r="F313" s="237" t="s">
        <v>21</v>
      </c>
      <c r="G313" s="237" t="s">
        <v>5527</v>
      </c>
      <c r="H313" s="237" t="s">
        <v>5528</v>
      </c>
      <c r="I313" s="237" t="s">
        <v>5529</v>
      </c>
      <c r="J313" s="237" t="s">
        <v>5530</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5531</v>
      </c>
      <c r="B314" s="237" t="s">
        <v>5532</v>
      </c>
      <c r="C314" s="237" t="s">
        <v>5533</v>
      </c>
      <c r="D314" s="237" t="s">
        <v>5534</v>
      </c>
      <c r="E314" s="237" t="s">
        <v>21</v>
      </c>
      <c r="F314" s="237" t="s">
        <v>21</v>
      </c>
      <c r="G314" s="237" t="s">
        <v>5535</v>
      </c>
      <c r="H314" s="237" t="s">
        <v>5536</v>
      </c>
      <c r="I314" s="237" t="s">
        <v>5537</v>
      </c>
      <c r="J314" s="237" t="s">
        <v>5538</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5539</v>
      </c>
      <c r="B315" s="236" t="s">
        <v>5540</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5541</v>
      </c>
      <c r="B316" s="237" t="s">
        <v>5542</v>
      </c>
      <c r="C316" s="237" t="s">
        <v>5543</v>
      </c>
      <c r="D316" s="237" t="s">
        <v>21</v>
      </c>
      <c r="E316" s="237" t="s">
        <v>21</v>
      </c>
      <c r="F316" s="237" t="s">
        <v>21</v>
      </c>
      <c r="G316" s="237" t="s">
        <v>21</v>
      </c>
      <c r="H316" s="237" t="s">
        <v>5544</v>
      </c>
      <c r="I316" s="237" t="s">
        <v>5545</v>
      </c>
      <c r="J316" s="237" t="s">
        <v>5546</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5547</v>
      </c>
      <c r="B317" s="237" t="s">
        <v>5548</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5549</v>
      </c>
      <c r="B318" s="236" t="s">
        <v>5550</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5551</v>
      </c>
      <c r="B319" s="237" t="s">
        <v>5552</v>
      </c>
      <c r="C319" s="237" t="s">
        <v>5553</v>
      </c>
      <c r="D319" s="237" t="s">
        <v>5554</v>
      </c>
      <c r="E319" s="237" t="s">
        <v>21</v>
      </c>
      <c r="F319" s="237" t="s">
        <v>5555</v>
      </c>
      <c r="G319" s="237" t="s">
        <v>5556</v>
      </c>
      <c r="H319" s="237" t="s">
        <v>5557</v>
      </c>
      <c r="I319" s="237" t="s">
        <v>21</v>
      </c>
      <c r="J319" s="237" t="s">
        <v>5558</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5559</v>
      </c>
      <c r="B320" s="237" t="s">
        <v>5560</v>
      </c>
      <c r="C320" s="237" t="s">
        <v>5561</v>
      </c>
      <c r="D320" s="237" t="s">
        <v>5562</v>
      </c>
      <c r="E320" s="237" t="s">
        <v>21</v>
      </c>
      <c r="F320" s="237" t="s">
        <v>21</v>
      </c>
      <c r="G320" s="237" t="s">
        <v>21</v>
      </c>
      <c r="H320" s="237" t="s">
        <v>5563</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5564</v>
      </c>
      <c r="B321" s="237" t="s">
        <v>5565</v>
      </c>
      <c r="C321" s="237" t="s">
        <v>5566</v>
      </c>
      <c r="D321" s="237" t="s">
        <v>5567</v>
      </c>
      <c r="E321" s="237" t="s">
        <v>21</v>
      </c>
      <c r="F321" s="237" t="s">
        <v>21</v>
      </c>
      <c r="G321" s="237" t="s">
        <v>21</v>
      </c>
      <c r="H321" s="237" t="s">
        <v>5568</v>
      </c>
      <c r="I321" s="237" t="s">
        <v>21</v>
      </c>
      <c r="J321" s="237" t="s">
        <v>5569</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5570</v>
      </c>
      <c r="B322" s="237" t="s">
        <v>5571</v>
      </c>
      <c r="C322" s="237" t="s">
        <v>5572</v>
      </c>
      <c r="D322" s="237" t="s">
        <v>5573</v>
      </c>
      <c r="E322" s="237" t="s">
        <v>21</v>
      </c>
      <c r="F322" s="237" t="s">
        <v>21</v>
      </c>
      <c r="G322" s="237" t="s">
        <v>21</v>
      </c>
      <c r="H322" s="237" t="s">
        <v>5574</v>
      </c>
      <c r="I322" s="237" t="s">
        <v>21</v>
      </c>
      <c r="J322" s="237" t="s">
        <v>5575</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5576</v>
      </c>
      <c r="B323" s="237" t="s">
        <v>5577</v>
      </c>
      <c r="C323" s="237" t="s">
        <v>5578</v>
      </c>
      <c r="D323" s="237" t="s">
        <v>21</v>
      </c>
      <c r="E323" s="237" t="s">
        <v>21</v>
      </c>
      <c r="F323" s="237" t="s">
        <v>21</v>
      </c>
      <c r="G323" s="237" t="s">
        <v>21</v>
      </c>
      <c r="H323" s="237" t="s">
        <v>5579</v>
      </c>
      <c r="I323" s="237" t="s">
        <v>4376</v>
      </c>
      <c r="J323" s="237" t="s">
        <v>5580</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5581</v>
      </c>
      <c r="B324" s="237" t="s">
        <v>5582</v>
      </c>
      <c r="C324" s="237" t="s">
        <v>5583</v>
      </c>
      <c r="D324" s="237" t="s">
        <v>21</v>
      </c>
      <c r="E324" s="237" t="s">
        <v>21</v>
      </c>
      <c r="F324" s="237" t="s">
        <v>21</v>
      </c>
      <c r="G324" s="237" t="s">
        <v>21</v>
      </c>
      <c r="H324" s="237" t="s">
        <v>5584</v>
      </c>
      <c r="I324" s="237" t="s">
        <v>5585</v>
      </c>
      <c r="J324" s="237" t="s">
        <v>5586</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5587</v>
      </c>
      <c r="B325" s="237" t="s">
        <v>5588</v>
      </c>
      <c r="C325" s="237" t="s">
        <v>5589</v>
      </c>
      <c r="D325" s="237" t="s">
        <v>5590</v>
      </c>
      <c r="E325" s="237" t="s">
        <v>21</v>
      </c>
      <c r="F325" s="237" t="s">
        <v>21</v>
      </c>
      <c r="G325" s="237" t="s">
        <v>21</v>
      </c>
      <c r="H325" s="237" t="s">
        <v>5591</v>
      </c>
      <c r="I325" s="237" t="s">
        <v>21</v>
      </c>
      <c r="J325" s="237" t="s">
        <v>5592</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5593</v>
      </c>
      <c r="B326" s="244" t="s">
        <v>5594</v>
      </c>
      <c r="C326" s="244" t="s">
        <v>5595</v>
      </c>
      <c r="D326" s="244" t="s">
        <v>5596</v>
      </c>
      <c r="E326" s="244" t="s">
        <v>21</v>
      </c>
      <c r="F326" s="244" t="s">
        <v>21</v>
      </c>
      <c r="G326" s="244" t="s">
        <v>21</v>
      </c>
      <c r="H326" s="244" t="s">
        <v>5597</v>
      </c>
      <c r="I326" s="244" t="s">
        <v>4376</v>
      </c>
      <c r="J326" s="244" t="s">
        <v>5598</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865</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IFERROR(INDEX('Recommendations'!$H$2:$H$178, MATCH(L2,'Recommendations'!$A$2:$A$178,0))="Implemented", FALSE))</xm:f>
            <x14:dxf>
              <font>
                <color rgb="FF000000"/>
              </font>
              <fill>
                <patternFill>
                  <bgColor rgb="FF3C7D22"/>
                </patternFill>
              </fill>
            </x14:dxf>
          </x14:cfRule>
          <x14:cfRule type="expression" priority="2" id="{00000000-000E-0000-0A00-000002000000}">
            <xm:f>AND(L2&lt;&gt;"", IFERROR(INDEX('Recommendations'!$H$2:$H$178, MATCH(L2,'Recommendations'!$A$2:$A$178,0))="Compensated", FALSE))</xm:f>
            <x14:dxf>
              <font>
                <color rgb="FF000000"/>
              </font>
              <fill>
                <patternFill>
                  <bgColor rgb="FFC6E0B4"/>
                </patternFill>
              </fill>
            </x14:dxf>
          </x14:cfRule>
          <x14:cfRule type="expression" priority="3" id="{00000000-000E-0000-0A00-000003000000}">
            <xm:f>AND(L2&lt;&gt;"", IFERROR(INDEX('Recommendations'!$H$2:$H$178, MATCH(L2,'Recommendations'!$A$2:$A$178,0))="Testing", FALSE))</xm:f>
            <x14:dxf>
              <font>
                <color rgb="FF000000"/>
              </font>
              <fill>
                <patternFill>
                  <bgColor rgb="FFFFC000"/>
                </patternFill>
              </fill>
            </x14:dxf>
          </x14:cfRule>
          <x14:cfRule type="expression" priority="4" id="{00000000-000E-0000-0A00-000004000000}">
            <xm:f>AND(L2&lt;&gt;"", IFERROR(INDEX('Recommendations'!$H$2:$H$178, MATCH(L2,'Recommendations'!$A$2:$A$178,0))="Failed", FALSE))</xm:f>
            <x14:dxf>
              <font>
                <color rgb="FF000000"/>
              </font>
              <fill>
                <patternFill>
                  <bgColor rgb="FFD82891"/>
                </patternFill>
              </fill>
            </x14:dxf>
          </x14:cfRule>
          <x14:cfRule type="expression" priority="5" id="{00000000-000E-0000-0A00-000005000000}">
            <xm:f>AND(L2&lt;&gt;"", IFERROR(INDEX('Recommendations'!$H$2:$H$178, MATCH(L2,'Recommendations'!$A$2:$A$178,0))="Risk Accepted", FALSE))</xm:f>
            <x14:dxf>
              <font>
                <color rgb="FF000000"/>
              </font>
              <fill>
                <patternFill>
                  <bgColor rgb="FFD9D9D9"/>
                </patternFill>
              </fill>
            </x14:dxf>
          </x14:cfRule>
          <x14:cfRule type="expression" priority="6" id="{00000000-000E-0000-0A00-000006000000}">
            <xm:f>AND(L2&lt;&gt;"", IFERROR(INDEX('Recommendations'!$H$2:$H$178, MATCH(L2,'Recommendations'!$A$2:$A$178,0))="N/A",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2747</v>
      </c>
      <c r="B1" s="289" t="s">
        <v>3632</v>
      </c>
      <c r="C1" s="289" t="s">
        <v>0</v>
      </c>
      <c r="D1" s="289" t="s">
        <v>1110</v>
      </c>
      <c r="E1" s="289" t="s">
        <v>5599</v>
      </c>
      <c r="F1" s="289" t="s">
        <v>5600</v>
      </c>
      <c r="G1" s="289" t="s">
        <v>1115</v>
      </c>
      <c r="H1" s="289" t="s">
        <v>1116</v>
      </c>
      <c r="I1" s="289" t="s">
        <v>1117</v>
      </c>
      <c r="J1" s="289" t="s">
        <v>1118</v>
      </c>
      <c r="K1" s="289" t="s">
        <v>1119</v>
      </c>
      <c r="L1" s="289" t="s">
        <v>1120</v>
      </c>
      <c r="M1" s="289" t="s">
        <v>1121</v>
      </c>
      <c r="N1" s="289" t="s">
        <v>1122</v>
      </c>
      <c r="O1" s="289" t="s">
        <v>1123</v>
      </c>
      <c r="P1" s="289" t="s">
        <v>1124</v>
      </c>
      <c r="Q1" s="289" t="s">
        <v>1125</v>
      </c>
      <c r="R1" s="289" t="s">
        <v>1126</v>
      </c>
      <c r="S1" s="289" t="s">
        <v>1127</v>
      </c>
      <c r="T1" s="289" t="s">
        <v>1128</v>
      </c>
      <c r="U1" s="289" t="s">
        <v>1129</v>
      </c>
      <c r="V1" s="289" t="s">
        <v>1130</v>
      </c>
      <c r="W1" s="289" t="s">
        <v>1131</v>
      </c>
      <c r="X1" s="289" t="s">
        <v>1132</v>
      </c>
      <c r="Y1" s="289" t="s">
        <v>1133</v>
      </c>
      <c r="Z1" s="289" t="s">
        <v>1134</v>
      </c>
      <c r="AA1" s="289" t="s">
        <v>1135</v>
      </c>
      <c r="AB1" s="289" t="s">
        <v>1136</v>
      </c>
      <c r="AC1" s="289" t="s">
        <v>1137</v>
      </c>
      <c r="AD1" s="289" t="s">
        <v>1138</v>
      </c>
      <c r="AE1" s="289" t="s">
        <v>1139</v>
      </c>
      <c r="AF1" s="289" t="s">
        <v>1140</v>
      </c>
      <c r="AG1" s="289" t="s">
        <v>1141</v>
      </c>
      <c r="AH1" s="289" t="s">
        <v>1142</v>
      </c>
      <c r="AI1" s="289" t="s">
        <v>1143</v>
      </c>
      <c r="AJ1" s="289" t="s">
        <v>1144</v>
      </c>
      <c r="AK1" s="289" t="s">
        <v>1145</v>
      </c>
      <c r="AL1" s="289" t="s">
        <v>1146</v>
      </c>
      <c r="AM1" s="289" t="s">
        <v>1147</v>
      </c>
      <c r="AN1" s="289" t="s">
        <v>1148</v>
      </c>
      <c r="AO1" s="289" t="s">
        <v>1149</v>
      </c>
      <c r="AP1" s="289" t="s">
        <v>1150</v>
      </c>
      <c r="AQ1" s="289" t="s">
        <v>1151</v>
      </c>
      <c r="AR1" s="289" t="s">
        <v>1152</v>
      </c>
      <c r="AS1" s="289" t="s">
        <v>1153</v>
      </c>
      <c r="AT1" s="289" t="s">
        <v>1154</v>
      </c>
      <c r="AU1" s="290" t="s">
        <v>1155</v>
      </c>
    </row>
    <row r="2" spans="1:47" ht="60" customHeight="1" outlineLevel="1" x14ac:dyDescent="0.35">
      <c r="A2" s="280" t="s">
        <v>5601</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5601</v>
      </c>
      <c r="B3" s="259" t="s">
        <v>5602</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5601</v>
      </c>
      <c r="B4" s="260" t="s">
        <v>5602</v>
      </c>
      <c r="C4" s="261" t="s">
        <v>5603</v>
      </c>
      <c r="D4" s="264" t="s">
        <v>5604</v>
      </c>
      <c r="E4" s="265" t="s">
        <v>5605</v>
      </c>
      <c r="F4" s="268" t="s">
        <v>5606</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5601</v>
      </c>
      <c r="B5" s="260" t="s">
        <v>5602</v>
      </c>
      <c r="C5" s="261" t="s">
        <v>5607</v>
      </c>
      <c r="D5" s="264" t="s">
        <v>5608</v>
      </c>
      <c r="E5" s="265" t="s">
        <v>5605</v>
      </c>
      <c r="F5" s="268" t="s">
        <v>5606</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5601</v>
      </c>
      <c r="B6" s="260" t="s">
        <v>5602</v>
      </c>
      <c r="C6" s="261" t="s">
        <v>5609</v>
      </c>
      <c r="D6" s="264" t="s">
        <v>5610</v>
      </c>
      <c r="E6" s="265" t="s">
        <v>5605</v>
      </c>
      <c r="F6" s="268" t="s">
        <v>5606</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5601</v>
      </c>
      <c r="B7" s="260" t="s">
        <v>5602</v>
      </c>
      <c r="C7" s="261" t="s">
        <v>5611</v>
      </c>
      <c r="D7" s="264" t="s">
        <v>5612</v>
      </c>
      <c r="E7" s="265" t="s">
        <v>5605</v>
      </c>
      <c r="F7" s="268" t="s">
        <v>5606</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5601</v>
      </c>
      <c r="B8" s="260" t="s">
        <v>5602</v>
      </c>
      <c r="C8" s="261" t="s">
        <v>5613</v>
      </c>
      <c r="D8" s="264" t="s">
        <v>5614</v>
      </c>
      <c r="E8" s="265" t="s">
        <v>5605</v>
      </c>
      <c r="F8" s="268" t="s">
        <v>5606</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5601</v>
      </c>
      <c r="B9" s="260" t="s">
        <v>5602</v>
      </c>
      <c r="C9" s="261" t="s">
        <v>5615</v>
      </c>
      <c r="D9" s="264" t="s">
        <v>5616</v>
      </c>
      <c r="E9" s="265" t="s">
        <v>5605</v>
      </c>
      <c r="F9" s="268" t="s">
        <v>5606</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5601</v>
      </c>
      <c r="B10" s="260" t="s">
        <v>5602</v>
      </c>
      <c r="C10" s="261" t="s">
        <v>5617</v>
      </c>
      <c r="D10" s="264" t="s">
        <v>5618</v>
      </c>
      <c r="E10" s="265" t="s">
        <v>5605</v>
      </c>
      <c r="F10" s="268" t="s">
        <v>5606</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5601</v>
      </c>
      <c r="B11" s="260" t="s">
        <v>5602</v>
      </c>
      <c r="C11" s="261" t="s">
        <v>5619</v>
      </c>
      <c r="D11" s="264" t="s">
        <v>5620</v>
      </c>
      <c r="E11" s="265" t="s">
        <v>5605</v>
      </c>
      <c r="F11" s="268" t="s">
        <v>5606</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5601</v>
      </c>
      <c r="B12" s="260" t="s">
        <v>5602</v>
      </c>
      <c r="C12" s="261" t="s">
        <v>5621</v>
      </c>
      <c r="D12" s="264" t="s">
        <v>5622</v>
      </c>
      <c r="E12" s="265" t="s">
        <v>5605</v>
      </c>
      <c r="F12" s="268" t="s">
        <v>5606</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5601</v>
      </c>
      <c r="B13" s="260" t="s">
        <v>5602</v>
      </c>
      <c r="C13" s="261" t="s">
        <v>5623</v>
      </c>
      <c r="D13" s="264" t="s">
        <v>5624</v>
      </c>
      <c r="E13" s="265" t="s">
        <v>5605</v>
      </c>
      <c r="F13" s="268" t="s">
        <v>5606</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5601</v>
      </c>
      <c r="B14" s="260" t="s">
        <v>5602</v>
      </c>
      <c r="C14" s="261" t="s">
        <v>5625</v>
      </c>
      <c r="D14" s="264" t="s">
        <v>5626</v>
      </c>
      <c r="E14" s="265" t="s">
        <v>5605</v>
      </c>
      <c r="F14" s="268" t="s">
        <v>5606</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5601</v>
      </c>
      <c r="B15" s="260" t="s">
        <v>5602</v>
      </c>
      <c r="C15" s="261" t="s">
        <v>5627</v>
      </c>
      <c r="D15" s="264" t="s">
        <v>5628</v>
      </c>
      <c r="E15" s="265" t="s">
        <v>5605</v>
      </c>
      <c r="F15" s="268" t="s">
        <v>5606</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5601</v>
      </c>
      <c r="B16" s="260" t="s">
        <v>5602</v>
      </c>
      <c r="C16" s="261" t="s">
        <v>5629</v>
      </c>
      <c r="D16" s="264" t="s">
        <v>5630</v>
      </c>
      <c r="E16" s="265" t="s">
        <v>5605</v>
      </c>
      <c r="F16" s="268" t="s">
        <v>5606</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5601</v>
      </c>
      <c r="B17" s="259" t="s">
        <v>5631</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5601</v>
      </c>
      <c r="B18" s="260" t="s">
        <v>5631</v>
      </c>
      <c r="C18" s="261" t="s">
        <v>5632</v>
      </c>
      <c r="D18" s="264" t="s">
        <v>5633</v>
      </c>
      <c r="E18" s="265" t="s">
        <v>5634</v>
      </c>
      <c r="F18" s="268" t="s">
        <v>5635</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5601</v>
      </c>
      <c r="B19" s="260" t="s">
        <v>5631</v>
      </c>
      <c r="C19" s="261" t="s">
        <v>5636</v>
      </c>
      <c r="D19" s="264" t="s">
        <v>5637</v>
      </c>
      <c r="E19" s="265" t="s">
        <v>5634</v>
      </c>
      <c r="F19" s="268" t="s">
        <v>5635</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5601</v>
      </c>
      <c r="B20" s="260" t="s">
        <v>5631</v>
      </c>
      <c r="C20" s="261" t="s">
        <v>5638</v>
      </c>
      <c r="D20" s="264" t="s">
        <v>5639</v>
      </c>
      <c r="E20" s="265" t="s">
        <v>5634</v>
      </c>
      <c r="F20" s="268" t="s">
        <v>5635</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5601</v>
      </c>
      <c r="B21" s="260" t="s">
        <v>5631</v>
      </c>
      <c r="C21" s="261" t="s">
        <v>5640</v>
      </c>
      <c r="D21" s="264" t="s">
        <v>5641</v>
      </c>
      <c r="E21" s="265" t="s">
        <v>5634</v>
      </c>
      <c r="F21" s="268" t="s">
        <v>5635</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5601</v>
      </c>
      <c r="B22" s="260" t="s">
        <v>5631</v>
      </c>
      <c r="C22" s="261" t="s">
        <v>5642</v>
      </c>
      <c r="D22" s="264" t="s">
        <v>5643</v>
      </c>
      <c r="E22" s="265" t="s">
        <v>5634</v>
      </c>
      <c r="F22" s="268" t="s">
        <v>5635</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5601</v>
      </c>
      <c r="B23" s="260" t="s">
        <v>5631</v>
      </c>
      <c r="C23" s="261" t="s">
        <v>5644</v>
      </c>
      <c r="D23" s="264" t="s">
        <v>5645</v>
      </c>
      <c r="E23" s="265" t="s">
        <v>5605</v>
      </c>
      <c r="F23" s="268" t="s">
        <v>5606</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5601</v>
      </c>
      <c r="B24" s="260" t="s">
        <v>5631</v>
      </c>
      <c r="C24" s="261" t="s">
        <v>5646</v>
      </c>
      <c r="D24" s="264" t="s">
        <v>5647</v>
      </c>
      <c r="E24" s="265" t="s">
        <v>5605</v>
      </c>
      <c r="F24" s="268" t="s">
        <v>5606</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5601</v>
      </c>
      <c r="B25" s="260" t="s">
        <v>5631</v>
      </c>
      <c r="C25" s="261" t="s">
        <v>5648</v>
      </c>
      <c r="D25" s="264" t="s">
        <v>5649</v>
      </c>
      <c r="E25" s="265" t="s">
        <v>5605</v>
      </c>
      <c r="F25" s="268" t="s">
        <v>5650</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5601</v>
      </c>
      <c r="B26" s="260" t="s">
        <v>5631</v>
      </c>
      <c r="C26" s="261" t="s">
        <v>5651</v>
      </c>
      <c r="D26" s="264" t="s">
        <v>5652</v>
      </c>
      <c r="E26" s="265" t="s">
        <v>5605</v>
      </c>
      <c r="F26" s="268" t="s">
        <v>5650</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5601</v>
      </c>
      <c r="B27" s="260" t="s">
        <v>5631</v>
      </c>
      <c r="C27" s="261" t="s">
        <v>5653</v>
      </c>
      <c r="D27" s="264" t="s">
        <v>5654</v>
      </c>
      <c r="E27" s="265" t="s">
        <v>5605</v>
      </c>
      <c r="F27" s="268" t="s">
        <v>5650</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5601</v>
      </c>
      <c r="B28" s="260" t="s">
        <v>5631</v>
      </c>
      <c r="C28" s="261" t="s">
        <v>5655</v>
      </c>
      <c r="D28" s="264" t="s">
        <v>5656</v>
      </c>
      <c r="E28" s="265" t="s">
        <v>5605</v>
      </c>
      <c r="F28" s="268" t="s">
        <v>5650</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5601</v>
      </c>
      <c r="B29" s="260" t="s">
        <v>5631</v>
      </c>
      <c r="C29" s="261" t="s">
        <v>5657</v>
      </c>
      <c r="D29" s="264" t="s">
        <v>5658</v>
      </c>
      <c r="E29" s="265" t="s">
        <v>5605</v>
      </c>
      <c r="F29" s="268" t="s">
        <v>5650</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5601</v>
      </c>
      <c r="B30" s="260" t="s">
        <v>5631</v>
      </c>
      <c r="C30" s="261" t="s">
        <v>5659</v>
      </c>
      <c r="D30" s="264" t="s">
        <v>5660</v>
      </c>
      <c r="E30" s="265" t="s">
        <v>5605</v>
      </c>
      <c r="F30" s="268" t="s">
        <v>5650</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5601</v>
      </c>
      <c r="B31" s="260" t="s">
        <v>5631</v>
      </c>
      <c r="C31" s="261" t="s">
        <v>5661</v>
      </c>
      <c r="D31" s="264" t="s">
        <v>5662</v>
      </c>
      <c r="E31" s="265" t="s">
        <v>5605</v>
      </c>
      <c r="F31" s="268" t="s">
        <v>5650</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5601</v>
      </c>
      <c r="B32" s="260" t="s">
        <v>5631</v>
      </c>
      <c r="C32" s="261" t="s">
        <v>5663</v>
      </c>
      <c r="D32" s="264" t="s">
        <v>5664</v>
      </c>
      <c r="E32" s="265" t="s">
        <v>5605</v>
      </c>
      <c r="F32" s="268" t="s">
        <v>5650</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5601</v>
      </c>
      <c r="B33" s="260" t="s">
        <v>5631</v>
      </c>
      <c r="C33" s="261" t="s">
        <v>5665</v>
      </c>
      <c r="D33" s="264" t="s">
        <v>5666</v>
      </c>
      <c r="E33" s="265" t="s">
        <v>5634</v>
      </c>
      <c r="F33" s="268" t="s">
        <v>5635</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5601</v>
      </c>
      <c r="B34" s="260" t="s">
        <v>5631</v>
      </c>
      <c r="C34" s="261" t="s">
        <v>5667</v>
      </c>
      <c r="D34" s="264" t="s">
        <v>5668</v>
      </c>
      <c r="E34" s="265" t="s">
        <v>5605</v>
      </c>
      <c r="F34" s="268" t="s">
        <v>5650</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5601</v>
      </c>
      <c r="B35" s="259" t="s">
        <v>5669</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5601</v>
      </c>
      <c r="B36" s="260" t="s">
        <v>5669</v>
      </c>
      <c r="C36" s="261" t="s">
        <v>5670</v>
      </c>
      <c r="D36" s="264" t="s">
        <v>5671</v>
      </c>
      <c r="E36" s="265" t="s">
        <v>5605</v>
      </c>
      <c r="F36" s="268" t="s">
        <v>5650</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5601</v>
      </c>
      <c r="B37" s="260" t="s">
        <v>5669</v>
      </c>
      <c r="C37" s="261" t="s">
        <v>5672</v>
      </c>
      <c r="D37" s="264" t="s">
        <v>5673</v>
      </c>
      <c r="E37" s="265" t="s">
        <v>5605</v>
      </c>
      <c r="F37" s="268" t="s">
        <v>5674</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5601</v>
      </c>
      <c r="B38" s="260" t="s">
        <v>5669</v>
      </c>
      <c r="C38" s="261" t="s">
        <v>5675</v>
      </c>
      <c r="D38" s="264" t="s">
        <v>5676</v>
      </c>
      <c r="E38" s="265" t="s">
        <v>5605</v>
      </c>
      <c r="F38" s="268" t="s">
        <v>5674</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5601</v>
      </c>
      <c r="B39" s="260" t="s">
        <v>5669</v>
      </c>
      <c r="C39" s="261" t="s">
        <v>5677</v>
      </c>
      <c r="D39" s="264" t="s">
        <v>5678</v>
      </c>
      <c r="E39" s="265" t="s">
        <v>5605</v>
      </c>
      <c r="F39" s="268" t="s">
        <v>5674</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5601</v>
      </c>
      <c r="B40" s="260" t="s">
        <v>5669</v>
      </c>
      <c r="C40" s="261" t="s">
        <v>5679</v>
      </c>
      <c r="D40" s="264" t="s">
        <v>5680</v>
      </c>
      <c r="E40" s="265" t="s">
        <v>5605</v>
      </c>
      <c r="F40" s="268" t="s">
        <v>5674</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5601</v>
      </c>
      <c r="B41" s="260" t="s">
        <v>5669</v>
      </c>
      <c r="C41" s="261" t="s">
        <v>5681</v>
      </c>
      <c r="D41" s="264" t="s">
        <v>5682</v>
      </c>
      <c r="E41" s="265" t="s">
        <v>5605</v>
      </c>
      <c r="F41" s="268" t="s">
        <v>5674</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5601</v>
      </c>
      <c r="B42" s="260" t="s">
        <v>5669</v>
      </c>
      <c r="C42" s="261" t="s">
        <v>5683</v>
      </c>
      <c r="D42" s="264" t="s">
        <v>5684</v>
      </c>
      <c r="E42" s="265" t="s">
        <v>5605</v>
      </c>
      <c r="F42" s="268" t="s">
        <v>5674</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5601</v>
      </c>
      <c r="B43" s="260" t="s">
        <v>5669</v>
      </c>
      <c r="C43" s="261" t="s">
        <v>5685</v>
      </c>
      <c r="D43" s="264" t="s">
        <v>5686</v>
      </c>
      <c r="E43" s="265" t="s">
        <v>5605</v>
      </c>
      <c r="F43" s="268" t="s">
        <v>5674</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5601</v>
      </c>
      <c r="B44" s="260" t="s">
        <v>5669</v>
      </c>
      <c r="C44" s="261" t="s">
        <v>5687</v>
      </c>
      <c r="D44" s="264" t="s">
        <v>5688</v>
      </c>
      <c r="E44" s="265" t="s">
        <v>5605</v>
      </c>
      <c r="F44" s="268" t="s">
        <v>5674</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5601</v>
      </c>
      <c r="B45" s="260" t="s">
        <v>5669</v>
      </c>
      <c r="C45" s="261" t="s">
        <v>5689</v>
      </c>
      <c r="D45" s="264" t="s">
        <v>5690</v>
      </c>
      <c r="E45" s="265" t="s">
        <v>5605</v>
      </c>
      <c r="F45" s="268" t="s">
        <v>5674</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5601</v>
      </c>
      <c r="B46" s="260" t="s">
        <v>5669</v>
      </c>
      <c r="C46" s="261" t="s">
        <v>5691</v>
      </c>
      <c r="D46" s="264" t="s">
        <v>5692</v>
      </c>
      <c r="E46" s="265" t="s">
        <v>5605</v>
      </c>
      <c r="F46" s="268" t="s">
        <v>5674</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5601</v>
      </c>
      <c r="B47" s="260" t="s">
        <v>5669</v>
      </c>
      <c r="C47" s="261" t="s">
        <v>5693</v>
      </c>
      <c r="D47" s="264" t="s">
        <v>5694</v>
      </c>
      <c r="E47" s="265" t="s">
        <v>5605</v>
      </c>
      <c r="F47" s="268" t="s">
        <v>5674</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5601</v>
      </c>
      <c r="B48" s="260" t="s">
        <v>5669</v>
      </c>
      <c r="C48" s="261" t="s">
        <v>5695</v>
      </c>
      <c r="D48" s="264" t="s">
        <v>5696</v>
      </c>
      <c r="E48" s="265" t="s">
        <v>5605</v>
      </c>
      <c r="F48" s="268" t="s">
        <v>5674</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5601</v>
      </c>
      <c r="B49" s="260" t="s">
        <v>5669</v>
      </c>
      <c r="C49" s="261" t="s">
        <v>5697</v>
      </c>
      <c r="D49" s="264" t="s">
        <v>5698</v>
      </c>
      <c r="E49" s="265" t="s">
        <v>5605</v>
      </c>
      <c r="F49" s="268" t="s">
        <v>5674</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5601</v>
      </c>
      <c r="B50" s="259" t="s">
        <v>2871</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5601</v>
      </c>
      <c r="B51" s="260" t="s">
        <v>2871</v>
      </c>
      <c r="C51" s="261" t="s">
        <v>5699</v>
      </c>
      <c r="D51" s="264" t="s">
        <v>5700</v>
      </c>
      <c r="E51" s="265" t="s">
        <v>5701</v>
      </c>
      <c r="F51" s="268" t="s">
        <v>5702</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5601</v>
      </c>
      <c r="B52" s="260" t="s">
        <v>2871</v>
      </c>
      <c r="C52" s="261" t="s">
        <v>5703</v>
      </c>
      <c r="D52" s="264" t="s">
        <v>5704</v>
      </c>
      <c r="E52" s="265" t="s">
        <v>5701</v>
      </c>
      <c r="F52" s="268" t="s">
        <v>5702</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5601</v>
      </c>
      <c r="B53" s="260" t="s">
        <v>2871</v>
      </c>
      <c r="C53" s="261" t="s">
        <v>5705</v>
      </c>
      <c r="D53" s="264" t="s">
        <v>5706</v>
      </c>
      <c r="E53" s="265" t="s">
        <v>5701</v>
      </c>
      <c r="F53" s="268" t="s">
        <v>5702</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5601</v>
      </c>
      <c r="B54" s="260" t="s">
        <v>2871</v>
      </c>
      <c r="C54" s="261" t="s">
        <v>5707</v>
      </c>
      <c r="D54" s="264" t="s">
        <v>5708</v>
      </c>
      <c r="E54" s="265" t="s">
        <v>5701</v>
      </c>
      <c r="F54" s="268" t="s">
        <v>5702</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5601</v>
      </c>
      <c r="B55" s="260" t="s">
        <v>2871</v>
      </c>
      <c r="C55" s="261" t="s">
        <v>5709</v>
      </c>
      <c r="D55" s="264" t="s">
        <v>5710</v>
      </c>
      <c r="E55" s="265" t="s">
        <v>5701</v>
      </c>
      <c r="F55" s="268" t="s">
        <v>5702</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5601</v>
      </c>
      <c r="B56" s="260" t="s">
        <v>2871</v>
      </c>
      <c r="C56" s="261" t="s">
        <v>5711</v>
      </c>
      <c r="D56" s="264" t="s">
        <v>5712</v>
      </c>
      <c r="E56" s="265" t="s">
        <v>5701</v>
      </c>
      <c r="F56" s="268" t="s">
        <v>5702</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5601</v>
      </c>
      <c r="B57" s="260" t="s">
        <v>2871</v>
      </c>
      <c r="C57" s="261" t="s">
        <v>5713</v>
      </c>
      <c r="D57" s="264" t="s">
        <v>5714</v>
      </c>
      <c r="E57" s="265" t="s">
        <v>5701</v>
      </c>
      <c r="F57" s="268" t="s">
        <v>5702</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5601</v>
      </c>
      <c r="B58" s="260" t="s">
        <v>2871</v>
      </c>
      <c r="C58" s="261" t="s">
        <v>5715</v>
      </c>
      <c r="D58" s="264" t="s">
        <v>5716</v>
      </c>
      <c r="E58" s="265" t="s">
        <v>5605</v>
      </c>
      <c r="F58" s="268" t="s">
        <v>5702</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5601</v>
      </c>
      <c r="B59" s="260" t="s">
        <v>2871</v>
      </c>
      <c r="C59" s="261" t="s">
        <v>5717</v>
      </c>
      <c r="D59" s="264" t="s">
        <v>5718</v>
      </c>
      <c r="E59" s="265" t="s">
        <v>5605</v>
      </c>
      <c r="F59" s="268" t="s">
        <v>5702</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5601</v>
      </c>
      <c r="B60" s="259" t="s">
        <v>5719</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5601</v>
      </c>
      <c r="B61" s="260" t="s">
        <v>5719</v>
      </c>
      <c r="C61" s="261" t="s">
        <v>5720</v>
      </c>
      <c r="D61" s="264" t="s">
        <v>5721</v>
      </c>
      <c r="E61" s="265" t="s">
        <v>5605</v>
      </c>
      <c r="F61" s="268" t="s">
        <v>5722</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5601</v>
      </c>
      <c r="B62" s="260" t="s">
        <v>5719</v>
      </c>
      <c r="C62" s="261" t="s">
        <v>5723</v>
      </c>
      <c r="D62" s="264" t="s">
        <v>5724</v>
      </c>
      <c r="E62" s="265" t="s">
        <v>5605</v>
      </c>
      <c r="F62" s="268" t="s">
        <v>5722</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5601</v>
      </c>
      <c r="B63" s="260" t="s">
        <v>5719</v>
      </c>
      <c r="C63" s="261" t="s">
        <v>5725</v>
      </c>
      <c r="D63" s="264" t="s">
        <v>5726</v>
      </c>
      <c r="E63" s="265" t="s">
        <v>5605</v>
      </c>
      <c r="F63" s="268" t="s">
        <v>5722</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5601</v>
      </c>
      <c r="B64" s="260" t="s">
        <v>5719</v>
      </c>
      <c r="C64" s="261" t="s">
        <v>5727</v>
      </c>
      <c r="D64" s="264" t="s">
        <v>5728</v>
      </c>
      <c r="E64" s="265" t="s">
        <v>5605</v>
      </c>
      <c r="F64" s="268" t="s">
        <v>5722</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5601</v>
      </c>
      <c r="B65" s="260" t="s">
        <v>5719</v>
      </c>
      <c r="C65" s="261" t="s">
        <v>5729</v>
      </c>
      <c r="D65" s="264" t="s">
        <v>5730</v>
      </c>
      <c r="E65" s="265" t="s">
        <v>5605</v>
      </c>
      <c r="F65" s="268" t="s">
        <v>5722</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5601</v>
      </c>
      <c r="B66" s="260" t="s">
        <v>5719</v>
      </c>
      <c r="C66" s="261" t="s">
        <v>5731</v>
      </c>
      <c r="D66" s="264" t="s">
        <v>5732</v>
      </c>
      <c r="E66" s="265" t="s">
        <v>5605</v>
      </c>
      <c r="F66" s="268" t="s">
        <v>5722</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5601</v>
      </c>
      <c r="B67" s="260" t="s">
        <v>5719</v>
      </c>
      <c r="C67" s="261" t="s">
        <v>5733</v>
      </c>
      <c r="D67" s="264" t="s">
        <v>5734</v>
      </c>
      <c r="E67" s="265" t="s">
        <v>5605</v>
      </c>
      <c r="F67" s="268" t="s">
        <v>5722</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5601</v>
      </c>
      <c r="B68" s="260" t="s">
        <v>5719</v>
      </c>
      <c r="C68" s="261" t="s">
        <v>5735</v>
      </c>
      <c r="D68" s="264" t="s">
        <v>5736</v>
      </c>
      <c r="E68" s="265" t="s">
        <v>5605</v>
      </c>
      <c r="F68" s="268" t="s">
        <v>5737</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5601</v>
      </c>
      <c r="B69" s="260" t="s">
        <v>5719</v>
      </c>
      <c r="C69" s="261" t="s">
        <v>5738</v>
      </c>
      <c r="D69" s="264" t="s">
        <v>5739</v>
      </c>
      <c r="E69" s="265" t="s">
        <v>5605</v>
      </c>
      <c r="F69" s="268" t="s">
        <v>5737</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5601</v>
      </c>
      <c r="B70" s="260" t="s">
        <v>5719</v>
      </c>
      <c r="C70" s="261" t="s">
        <v>5740</v>
      </c>
      <c r="D70" s="264" t="s">
        <v>5741</v>
      </c>
      <c r="E70" s="265" t="s">
        <v>5605</v>
      </c>
      <c r="F70" s="268" t="s">
        <v>5737</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5601</v>
      </c>
      <c r="B71" s="260" t="s">
        <v>5719</v>
      </c>
      <c r="C71" s="261" t="s">
        <v>5742</v>
      </c>
      <c r="D71" s="264" t="s">
        <v>5743</v>
      </c>
      <c r="E71" s="265" t="s">
        <v>5605</v>
      </c>
      <c r="F71" s="268" t="s">
        <v>5744</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5601</v>
      </c>
      <c r="B72" s="260" t="s">
        <v>5719</v>
      </c>
      <c r="C72" s="261" t="s">
        <v>5745</v>
      </c>
      <c r="D72" s="264" t="s">
        <v>5746</v>
      </c>
      <c r="E72" s="265" t="s">
        <v>5605</v>
      </c>
      <c r="F72" s="268" t="s">
        <v>5722</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5601</v>
      </c>
      <c r="B73" s="260" t="s">
        <v>5719</v>
      </c>
      <c r="C73" s="261" t="s">
        <v>5747</v>
      </c>
      <c r="D73" s="264" t="s">
        <v>5748</v>
      </c>
      <c r="E73" s="265" t="s">
        <v>5749</v>
      </c>
      <c r="F73" s="268" t="s">
        <v>5722</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5601</v>
      </c>
      <c r="B74" s="259" t="s">
        <v>5750</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5601</v>
      </c>
      <c r="B75" s="260" t="s">
        <v>5750</v>
      </c>
      <c r="C75" s="261" t="s">
        <v>5751</v>
      </c>
      <c r="D75" s="264" t="s">
        <v>5752</v>
      </c>
      <c r="E75" s="265" t="s">
        <v>5749</v>
      </c>
      <c r="F75" s="268" t="s">
        <v>5753</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5601</v>
      </c>
      <c r="B76" s="260" t="s">
        <v>5750</v>
      </c>
      <c r="C76" s="261" t="s">
        <v>5754</v>
      </c>
      <c r="D76" s="264" t="s">
        <v>5755</v>
      </c>
      <c r="E76" s="265" t="s">
        <v>5749</v>
      </c>
      <c r="F76" s="268" t="s">
        <v>5753</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5601</v>
      </c>
      <c r="B77" s="260" t="s">
        <v>5750</v>
      </c>
      <c r="C77" s="261" t="s">
        <v>5756</v>
      </c>
      <c r="D77" s="264" t="s">
        <v>5757</v>
      </c>
      <c r="E77" s="265" t="s">
        <v>5749</v>
      </c>
      <c r="F77" s="268" t="s">
        <v>5753</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5601</v>
      </c>
      <c r="B78" s="260" t="s">
        <v>5750</v>
      </c>
      <c r="C78" s="261" t="s">
        <v>5758</v>
      </c>
      <c r="D78" s="264" t="s">
        <v>5759</v>
      </c>
      <c r="E78" s="265" t="s">
        <v>5749</v>
      </c>
      <c r="F78" s="268" t="s">
        <v>5753</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5601</v>
      </c>
      <c r="B79" s="260" t="s">
        <v>5750</v>
      </c>
      <c r="C79" s="261" t="s">
        <v>5760</v>
      </c>
      <c r="D79" s="264" t="s">
        <v>5761</v>
      </c>
      <c r="E79" s="265" t="s">
        <v>5749</v>
      </c>
      <c r="F79" s="268" t="s">
        <v>5753</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5601</v>
      </c>
      <c r="B80" s="260" t="s">
        <v>5750</v>
      </c>
      <c r="C80" s="261" t="s">
        <v>5762</v>
      </c>
      <c r="D80" s="264" t="s">
        <v>5763</v>
      </c>
      <c r="E80" s="265" t="s">
        <v>5749</v>
      </c>
      <c r="F80" s="268" t="s">
        <v>5753</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5601</v>
      </c>
      <c r="B81" s="260" t="s">
        <v>5750</v>
      </c>
      <c r="C81" s="261" t="s">
        <v>5764</v>
      </c>
      <c r="D81" s="264" t="s">
        <v>5765</v>
      </c>
      <c r="E81" s="265" t="s">
        <v>5749</v>
      </c>
      <c r="F81" s="268" t="s">
        <v>5753</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5601</v>
      </c>
      <c r="B82" s="260" t="s">
        <v>5750</v>
      </c>
      <c r="C82" s="261" t="s">
        <v>5766</v>
      </c>
      <c r="D82" s="264" t="s">
        <v>5767</v>
      </c>
      <c r="E82" s="265" t="s">
        <v>5749</v>
      </c>
      <c r="F82" s="268" t="s">
        <v>5753</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5601</v>
      </c>
      <c r="B83" s="260" t="s">
        <v>5750</v>
      </c>
      <c r="C83" s="261" t="s">
        <v>5768</v>
      </c>
      <c r="D83" s="264" t="s">
        <v>5769</v>
      </c>
      <c r="E83" s="265" t="s">
        <v>5749</v>
      </c>
      <c r="F83" s="268" t="s">
        <v>5753</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5601</v>
      </c>
      <c r="B84" s="260" t="s">
        <v>5750</v>
      </c>
      <c r="C84" s="261" t="s">
        <v>5770</v>
      </c>
      <c r="D84" s="264" t="s">
        <v>5771</v>
      </c>
      <c r="E84" s="265" t="s">
        <v>5749</v>
      </c>
      <c r="F84" s="268" t="s">
        <v>5753</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5601</v>
      </c>
      <c r="B85" s="260" t="s">
        <v>5750</v>
      </c>
      <c r="C85" s="261" t="s">
        <v>5772</v>
      </c>
      <c r="D85" s="264" t="s">
        <v>5773</v>
      </c>
      <c r="E85" s="265" t="s">
        <v>5749</v>
      </c>
      <c r="F85" s="268" t="s">
        <v>5753</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5601</v>
      </c>
      <c r="B86" s="260" t="s">
        <v>5750</v>
      </c>
      <c r="C86" s="261" t="s">
        <v>5774</v>
      </c>
      <c r="D86" s="264" t="s">
        <v>5775</v>
      </c>
      <c r="E86" s="265" t="s">
        <v>5749</v>
      </c>
      <c r="F86" s="268" t="s">
        <v>5753</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5601</v>
      </c>
      <c r="B87" s="260" t="s">
        <v>5750</v>
      </c>
      <c r="C87" s="261" t="s">
        <v>5776</v>
      </c>
      <c r="D87" s="264" t="s">
        <v>5777</v>
      </c>
      <c r="E87" s="265" t="s">
        <v>5749</v>
      </c>
      <c r="F87" s="268" t="s">
        <v>5753</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5601</v>
      </c>
      <c r="B88" s="260" t="s">
        <v>5750</v>
      </c>
      <c r="C88" s="261" t="s">
        <v>5778</v>
      </c>
      <c r="D88" s="264" t="s">
        <v>5779</v>
      </c>
      <c r="E88" s="265" t="s">
        <v>5749</v>
      </c>
      <c r="F88" s="268" t="s">
        <v>5737</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5601</v>
      </c>
      <c r="B89" s="260" t="s">
        <v>5750</v>
      </c>
      <c r="C89" s="261" t="s">
        <v>5780</v>
      </c>
      <c r="D89" s="264" t="s">
        <v>5781</v>
      </c>
      <c r="E89" s="265" t="s">
        <v>5749</v>
      </c>
      <c r="F89" s="268" t="s">
        <v>5737</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5601</v>
      </c>
      <c r="B90" s="260" t="s">
        <v>5750</v>
      </c>
      <c r="C90" s="261" t="s">
        <v>5782</v>
      </c>
      <c r="D90" s="264" t="s">
        <v>5783</v>
      </c>
      <c r="E90" s="265" t="s">
        <v>5749</v>
      </c>
      <c r="F90" s="268" t="s">
        <v>5737</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5601</v>
      </c>
      <c r="B91" s="259" t="s">
        <v>5784</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5601</v>
      </c>
      <c r="B92" s="260" t="s">
        <v>5784</v>
      </c>
      <c r="C92" s="261" t="s">
        <v>5785</v>
      </c>
      <c r="D92" s="264" t="s">
        <v>5786</v>
      </c>
      <c r="E92" s="265" t="s">
        <v>5605</v>
      </c>
      <c r="F92" s="268" t="s">
        <v>5737</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5601</v>
      </c>
      <c r="B93" s="260" t="s">
        <v>5784</v>
      </c>
      <c r="C93" s="261" t="s">
        <v>5787</v>
      </c>
      <c r="D93" s="264" t="s">
        <v>5788</v>
      </c>
      <c r="E93" s="265" t="s">
        <v>5605</v>
      </c>
      <c r="F93" s="268" t="s">
        <v>5737</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5601</v>
      </c>
      <c r="B94" s="260" t="s">
        <v>5784</v>
      </c>
      <c r="C94" s="261" t="s">
        <v>5789</v>
      </c>
      <c r="D94" s="264" t="s">
        <v>5790</v>
      </c>
      <c r="E94" s="265" t="s">
        <v>5605</v>
      </c>
      <c r="F94" s="268" t="s">
        <v>5737</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5601</v>
      </c>
      <c r="B95" s="260" t="s">
        <v>5784</v>
      </c>
      <c r="C95" s="261" t="s">
        <v>5791</v>
      </c>
      <c r="D95" s="264" t="s">
        <v>5792</v>
      </c>
      <c r="E95" s="265" t="s">
        <v>5605</v>
      </c>
      <c r="F95" s="268" t="s">
        <v>5737</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5601</v>
      </c>
      <c r="B96" s="260" t="s">
        <v>5784</v>
      </c>
      <c r="C96" s="261" t="s">
        <v>5793</v>
      </c>
      <c r="D96" s="264" t="s">
        <v>5794</v>
      </c>
      <c r="E96" s="265" t="s">
        <v>5605</v>
      </c>
      <c r="F96" s="268" t="s">
        <v>5737</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5601</v>
      </c>
      <c r="B97" s="260" t="s">
        <v>5784</v>
      </c>
      <c r="C97" s="261" t="s">
        <v>5795</v>
      </c>
      <c r="D97" s="264" t="s">
        <v>5796</v>
      </c>
      <c r="E97" s="265" t="s">
        <v>5605</v>
      </c>
      <c r="F97" s="268" t="s">
        <v>5797</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5601</v>
      </c>
      <c r="B98" s="260" t="s">
        <v>5784</v>
      </c>
      <c r="C98" s="261" t="s">
        <v>5798</v>
      </c>
      <c r="D98" s="264" t="s">
        <v>5799</v>
      </c>
      <c r="E98" s="265" t="s">
        <v>5605</v>
      </c>
      <c r="F98" s="268" t="s">
        <v>5797</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5601</v>
      </c>
      <c r="B99" s="260" t="s">
        <v>5784</v>
      </c>
      <c r="C99" s="261" t="s">
        <v>5800</v>
      </c>
      <c r="D99" s="264" t="s">
        <v>5801</v>
      </c>
      <c r="E99" s="265" t="s">
        <v>5605</v>
      </c>
      <c r="F99" s="268" t="s">
        <v>5797</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5601</v>
      </c>
      <c r="B100" s="260" t="s">
        <v>5784</v>
      </c>
      <c r="C100" s="261" t="s">
        <v>5802</v>
      </c>
      <c r="D100" s="264" t="s">
        <v>5803</v>
      </c>
      <c r="E100" s="265" t="s">
        <v>5605</v>
      </c>
      <c r="F100" s="268" t="s">
        <v>5797</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5601</v>
      </c>
      <c r="B101" s="260" t="s">
        <v>5784</v>
      </c>
      <c r="C101" s="261" t="s">
        <v>5804</v>
      </c>
      <c r="D101" s="264" t="s">
        <v>5805</v>
      </c>
      <c r="E101" s="265" t="s">
        <v>5605</v>
      </c>
      <c r="F101" s="268" t="s">
        <v>5737</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5601</v>
      </c>
      <c r="B102" s="260" t="s">
        <v>5784</v>
      </c>
      <c r="C102" s="261" t="s">
        <v>5806</v>
      </c>
      <c r="D102" s="264" t="s">
        <v>5807</v>
      </c>
      <c r="E102" s="265" t="s">
        <v>5749</v>
      </c>
      <c r="F102" s="268" t="s">
        <v>5737</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5601</v>
      </c>
      <c r="B103" s="260" t="s">
        <v>5784</v>
      </c>
      <c r="C103" s="261" t="s">
        <v>5808</v>
      </c>
      <c r="D103" s="264" t="s">
        <v>5809</v>
      </c>
      <c r="E103" s="265" t="s">
        <v>5749</v>
      </c>
      <c r="F103" s="268" t="s">
        <v>5737</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5601</v>
      </c>
      <c r="B104" s="260" t="s">
        <v>5784</v>
      </c>
      <c r="C104" s="261" t="s">
        <v>5810</v>
      </c>
      <c r="D104" s="264" t="s">
        <v>5811</v>
      </c>
      <c r="E104" s="265" t="s">
        <v>5749</v>
      </c>
      <c r="F104" s="268" t="s">
        <v>5737</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5601</v>
      </c>
      <c r="B105" s="260" t="s">
        <v>5784</v>
      </c>
      <c r="C105" s="261" t="s">
        <v>5812</v>
      </c>
      <c r="D105" s="264" t="s">
        <v>5813</v>
      </c>
      <c r="E105" s="265" t="s">
        <v>5634</v>
      </c>
      <c r="F105" s="268" t="s">
        <v>5737</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5601</v>
      </c>
      <c r="B106" s="259" t="s">
        <v>5814</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5601</v>
      </c>
      <c r="B107" s="260" t="s">
        <v>5814</v>
      </c>
      <c r="C107" s="261" t="s">
        <v>5815</v>
      </c>
      <c r="D107" s="264" t="s">
        <v>5816</v>
      </c>
      <c r="E107" s="265" t="s">
        <v>5749</v>
      </c>
      <c r="F107" s="268" t="s">
        <v>5737</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5601</v>
      </c>
      <c r="B108" s="260" t="s">
        <v>5814</v>
      </c>
      <c r="C108" s="261" t="s">
        <v>5817</v>
      </c>
      <c r="D108" s="264" t="s">
        <v>5818</v>
      </c>
      <c r="E108" s="265" t="s">
        <v>5749</v>
      </c>
      <c r="F108" s="268" t="s">
        <v>5737</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5601</v>
      </c>
      <c r="B109" s="260" t="s">
        <v>5814</v>
      </c>
      <c r="C109" s="261" t="s">
        <v>5819</v>
      </c>
      <c r="D109" s="264" t="s">
        <v>5820</v>
      </c>
      <c r="E109" s="265" t="s">
        <v>5749</v>
      </c>
      <c r="F109" s="268" t="s">
        <v>5737</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5601</v>
      </c>
      <c r="B110" s="260" t="s">
        <v>5814</v>
      </c>
      <c r="C110" s="261" t="s">
        <v>5821</v>
      </c>
      <c r="D110" s="264" t="s">
        <v>5822</v>
      </c>
      <c r="E110" s="265" t="s">
        <v>5749</v>
      </c>
      <c r="F110" s="268" t="s">
        <v>5737</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5601</v>
      </c>
      <c r="B111" s="260" t="s">
        <v>5814</v>
      </c>
      <c r="C111" s="261" t="s">
        <v>5823</v>
      </c>
      <c r="D111" s="264" t="s">
        <v>5824</v>
      </c>
      <c r="E111" s="265" t="s">
        <v>5749</v>
      </c>
      <c r="F111" s="268" t="s">
        <v>5737</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5601</v>
      </c>
      <c r="B112" s="260" t="s">
        <v>5814</v>
      </c>
      <c r="C112" s="261" t="s">
        <v>5825</v>
      </c>
      <c r="D112" s="264" t="s">
        <v>5826</v>
      </c>
      <c r="E112" s="265" t="s">
        <v>5749</v>
      </c>
      <c r="F112" s="268" t="s">
        <v>5737</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5601</v>
      </c>
      <c r="B113" s="260" t="s">
        <v>5814</v>
      </c>
      <c r="C113" s="261" t="s">
        <v>5827</v>
      </c>
      <c r="D113" s="264" t="s">
        <v>5828</v>
      </c>
      <c r="E113" s="265" t="s">
        <v>5749</v>
      </c>
      <c r="F113" s="268" t="s">
        <v>5737</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5601</v>
      </c>
      <c r="B114" s="260" t="s">
        <v>5814</v>
      </c>
      <c r="C114" s="261" t="s">
        <v>5829</v>
      </c>
      <c r="D114" s="264" t="s">
        <v>5830</v>
      </c>
      <c r="E114" s="265" t="s">
        <v>5749</v>
      </c>
      <c r="F114" s="268" t="s">
        <v>5737</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5601</v>
      </c>
      <c r="B115" s="260" t="s">
        <v>5814</v>
      </c>
      <c r="C115" s="261" t="s">
        <v>5831</v>
      </c>
      <c r="D115" s="264" t="s">
        <v>5832</v>
      </c>
      <c r="E115" s="265" t="s">
        <v>5749</v>
      </c>
      <c r="F115" s="268" t="s">
        <v>5737</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5601</v>
      </c>
      <c r="B116" s="260" t="s">
        <v>5814</v>
      </c>
      <c r="C116" s="261" t="s">
        <v>5833</v>
      </c>
      <c r="D116" s="264" t="s">
        <v>5834</v>
      </c>
      <c r="E116" s="265" t="s">
        <v>5749</v>
      </c>
      <c r="F116" s="268" t="s">
        <v>5737</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5601</v>
      </c>
      <c r="B117" s="260" t="s">
        <v>5814</v>
      </c>
      <c r="C117" s="261" t="s">
        <v>5835</v>
      </c>
      <c r="D117" s="264" t="s">
        <v>5836</v>
      </c>
      <c r="E117" s="265" t="s">
        <v>5749</v>
      </c>
      <c r="F117" s="268" t="s">
        <v>5737</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5837</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5837</v>
      </c>
      <c r="B119" s="259" t="s">
        <v>5838</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5837</v>
      </c>
      <c r="B120" s="260" t="s">
        <v>5838</v>
      </c>
      <c r="C120" s="261" t="s">
        <v>5839</v>
      </c>
      <c r="D120" s="264" t="s">
        <v>5840</v>
      </c>
      <c r="E120" s="265" t="s">
        <v>5605</v>
      </c>
      <c r="F120" s="268" t="s">
        <v>5841</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5837</v>
      </c>
      <c r="B121" s="260" t="s">
        <v>5838</v>
      </c>
      <c r="C121" s="261" t="s">
        <v>5842</v>
      </c>
      <c r="D121" s="264" t="s">
        <v>5843</v>
      </c>
      <c r="E121" s="265" t="s">
        <v>5605</v>
      </c>
      <c r="F121" s="268" t="s">
        <v>5841</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5837</v>
      </c>
      <c r="B122" s="260" t="s">
        <v>5838</v>
      </c>
      <c r="C122" s="261" t="s">
        <v>5844</v>
      </c>
      <c r="D122" s="264" t="s">
        <v>5845</v>
      </c>
      <c r="E122" s="265" t="s">
        <v>5605</v>
      </c>
      <c r="F122" s="268" t="s">
        <v>5841</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5837</v>
      </c>
      <c r="B123" s="260" t="s">
        <v>5838</v>
      </c>
      <c r="C123" s="261" t="s">
        <v>5846</v>
      </c>
      <c r="D123" s="264" t="s">
        <v>5847</v>
      </c>
      <c r="E123" s="265" t="s">
        <v>5605</v>
      </c>
      <c r="F123" s="268" t="s">
        <v>5841</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5837</v>
      </c>
      <c r="B124" s="260" t="s">
        <v>5838</v>
      </c>
      <c r="C124" s="261" t="s">
        <v>5848</v>
      </c>
      <c r="D124" s="264" t="s">
        <v>5849</v>
      </c>
      <c r="E124" s="265" t="s">
        <v>5605</v>
      </c>
      <c r="F124" s="268" t="s">
        <v>5841</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5837</v>
      </c>
      <c r="B125" s="260" t="s">
        <v>5838</v>
      </c>
      <c r="C125" s="261" t="s">
        <v>5850</v>
      </c>
      <c r="D125" s="264" t="s">
        <v>5851</v>
      </c>
      <c r="E125" s="265" t="s">
        <v>5605</v>
      </c>
      <c r="F125" s="268" t="s">
        <v>5841</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5837</v>
      </c>
      <c r="B126" s="260" t="s">
        <v>5838</v>
      </c>
      <c r="C126" s="261" t="s">
        <v>5852</v>
      </c>
      <c r="D126" s="264" t="s">
        <v>5853</v>
      </c>
      <c r="E126" s="265" t="s">
        <v>5605</v>
      </c>
      <c r="F126" s="268" t="s">
        <v>5841</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5837</v>
      </c>
      <c r="B127" s="260" t="s">
        <v>5838</v>
      </c>
      <c r="C127" s="261" t="s">
        <v>5854</v>
      </c>
      <c r="D127" s="264" t="s">
        <v>5855</v>
      </c>
      <c r="E127" s="265" t="s">
        <v>5605</v>
      </c>
      <c r="F127" s="268" t="s">
        <v>5841</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5837</v>
      </c>
      <c r="B128" s="260" t="s">
        <v>5838</v>
      </c>
      <c r="C128" s="261" t="s">
        <v>5856</v>
      </c>
      <c r="D128" s="264" t="s">
        <v>5857</v>
      </c>
      <c r="E128" s="265" t="s">
        <v>5605</v>
      </c>
      <c r="F128" s="268" t="s">
        <v>5841</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5837</v>
      </c>
      <c r="B129" s="260" t="s">
        <v>5838</v>
      </c>
      <c r="C129" s="261" t="s">
        <v>5858</v>
      </c>
      <c r="D129" s="264" t="s">
        <v>5859</v>
      </c>
      <c r="E129" s="265" t="s">
        <v>5605</v>
      </c>
      <c r="F129" s="268" t="s">
        <v>5841</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5837</v>
      </c>
      <c r="B130" s="260" t="s">
        <v>5838</v>
      </c>
      <c r="C130" s="261" t="s">
        <v>5860</v>
      </c>
      <c r="D130" s="264" t="s">
        <v>5861</v>
      </c>
      <c r="E130" s="265" t="s">
        <v>5605</v>
      </c>
      <c r="F130" s="268" t="s">
        <v>5841</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5837</v>
      </c>
      <c r="B131" s="260" t="s">
        <v>5838</v>
      </c>
      <c r="C131" s="261" t="s">
        <v>5862</v>
      </c>
      <c r="D131" s="264" t="s">
        <v>5863</v>
      </c>
      <c r="E131" s="265" t="s">
        <v>5605</v>
      </c>
      <c r="F131" s="268" t="s">
        <v>5841</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5837</v>
      </c>
      <c r="B132" s="260" t="s">
        <v>5838</v>
      </c>
      <c r="C132" s="261" t="s">
        <v>5864</v>
      </c>
      <c r="D132" s="264" t="s">
        <v>5865</v>
      </c>
      <c r="E132" s="265" t="s">
        <v>5605</v>
      </c>
      <c r="F132" s="268" t="s">
        <v>5841</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5837</v>
      </c>
      <c r="B133" s="260" t="s">
        <v>5838</v>
      </c>
      <c r="C133" s="261" t="s">
        <v>5866</v>
      </c>
      <c r="D133" s="264" t="s">
        <v>5867</v>
      </c>
      <c r="E133" s="265" t="s">
        <v>5634</v>
      </c>
      <c r="F133" s="268" t="s">
        <v>5841</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5837</v>
      </c>
      <c r="B134" s="260" t="s">
        <v>5838</v>
      </c>
      <c r="C134" s="261" t="s">
        <v>5868</v>
      </c>
      <c r="D134" s="264" t="s">
        <v>5869</v>
      </c>
      <c r="E134" s="265" t="s">
        <v>5634</v>
      </c>
      <c r="F134" s="268" t="s">
        <v>5841</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5837</v>
      </c>
      <c r="B135" s="260" t="s">
        <v>5838</v>
      </c>
      <c r="C135" s="261" t="s">
        <v>5870</v>
      </c>
      <c r="D135" s="264" t="s">
        <v>5871</v>
      </c>
      <c r="E135" s="265" t="s">
        <v>5749</v>
      </c>
      <c r="F135" s="268" t="s">
        <v>5841</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5837</v>
      </c>
      <c r="B136" s="260" t="s">
        <v>5838</v>
      </c>
      <c r="C136" s="261" t="s">
        <v>5872</v>
      </c>
      <c r="D136" s="264" t="s">
        <v>5873</v>
      </c>
      <c r="E136" s="265" t="s">
        <v>5634</v>
      </c>
      <c r="F136" s="268" t="s">
        <v>5841</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5837</v>
      </c>
      <c r="B137" s="260" t="s">
        <v>5838</v>
      </c>
      <c r="C137" s="261" t="s">
        <v>5874</v>
      </c>
      <c r="D137" s="264" t="s">
        <v>5875</v>
      </c>
      <c r="E137" s="265" t="s">
        <v>5634</v>
      </c>
      <c r="F137" s="268" t="s">
        <v>5841</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5837</v>
      </c>
      <c r="B138" s="260" t="s">
        <v>5838</v>
      </c>
      <c r="C138" s="261" t="s">
        <v>5876</v>
      </c>
      <c r="D138" s="264" t="s">
        <v>5877</v>
      </c>
      <c r="E138" s="265" t="s">
        <v>5749</v>
      </c>
      <c r="F138" s="268" t="s">
        <v>5841</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5837</v>
      </c>
      <c r="B139" s="260" t="s">
        <v>5838</v>
      </c>
      <c r="C139" s="261" t="s">
        <v>5878</v>
      </c>
      <c r="D139" s="264" t="s">
        <v>5879</v>
      </c>
      <c r="E139" s="265" t="s">
        <v>5749</v>
      </c>
      <c r="F139" s="268" t="s">
        <v>5841</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5837</v>
      </c>
      <c r="B140" s="260" t="s">
        <v>5838</v>
      </c>
      <c r="C140" s="261" t="s">
        <v>5880</v>
      </c>
      <c r="D140" s="264" t="s">
        <v>5881</v>
      </c>
      <c r="E140" s="265" t="s">
        <v>5605</v>
      </c>
      <c r="F140" s="268" t="s">
        <v>5841</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5837</v>
      </c>
      <c r="B141" s="260" t="s">
        <v>5838</v>
      </c>
      <c r="C141" s="261" t="s">
        <v>5882</v>
      </c>
      <c r="D141" s="264" t="s">
        <v>5883</v>
      </c>
      <c r="E141" s="265" t="s">
        <v>5884</v>
      </c>
      <c r="F141" s="268" t="s">
        <v>5885</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5837</v>
      </c>
      <c r="B142" s="260" t="s">
        <v>5838</v>
      </c>
      <c r="C142" s="261" t="s">
        <v>5886</v>
      </c>
      <c r="D142" s="264" t="s">
        <v>5887</v>
      </c>
      <c r="E142" s="265" t="s">
        <v>5884</v>
      </c>
      <c r="F142" s="268" t="s">
        <v>5885</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5837</v>
      </c>
      <c r="B143" s="260" t="s">
        <v>5838</v>
      </c>
      <c r="C143" s="261" t="s">
        <v>5888</v>
      </c>
      <c r="D143" s="264" t="s">
        <v>5889</v>
      </c>
      <c r="E143" s="265" t="s">
        <v>5884</v>
      </c>
      <c r="F143" s="268" t="s">
        <v>5885</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5837</v>
      </c>
      <c r="B144" s="260" t="s">
        <v>5838</v>
      </c>
      <c r="C144" s="261" t="s">
        <v>5890</v>
      </c>
      <c r="D144" s="264" t="s">
        <v>5891</v>
      </c>
      <c r="E144" s="265" t="s">
        <v>5701</v>
      </c>
      <c r="F144" s="268" t="s">
        <v>5885</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5837</v>
      </c>
      <c r="B145" s="260" t="s">
        <v>5838</v>
      </c>
      <c r="C145" s="261" t="s">
        <v>5892</v>
      </c>
      <c r="D145" s="264" t="s">
        <v>5893</v>
      </c>
      <c r="E145" s="265" t="s">
        <v>5701</v>
      </c>
      <c r="F145" s="268" t="s">
        <v>5885</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5837</v>
      </c>
      <c r="B146" s="260" t="s">
        <v>5838</v>
      </c>
      <c r="C146" s="261" t="s">
        <v>5894</v>
      </c>
      <c r="D146" s="264" t="s">
        <v>5895</v>
      </c>
      <c r="E146" s="265" t="s">
        <v>5701</v>
      </c>
      <c r="F146" s="268" t="s">
        <v>5885</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5837</v>
      </c>
      <c r="B147" s="259" t="s">
        <v>5896</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5837</v>
      </c>
      <c r="B148" s="260" t="s">
        <v>5896</v>
      </c>
      <c r="C148" s="261" t="s">
        <v>5897</v>
      </c>
      <c r="D148" s="264" t="s">
        <v>5898</v>
      </c>
      <c r="E148" s="265" t="s">
        <v>5634</v>
      </c>
      <c r="F148" s="268" t="s">
        <v>5899</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5837</v>
      </c>
      <c r="B149" s="260" t="s">
        <v>5896</v>
      </c>
      <c r="C149" s="261" t="s">
        <v>5900</v>
      </c>
      <c r="D149" s="264" t="s">
        <v>5901</v>
      </c>
      <c r="E149" s="265" t="s">
        <v>5634</v>
      </c>
      <c r="F149" s="268" t="s">
        <v>5899</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5837</v>
      </c>
      <c r="B150" s="260" t="s">
        <v>5896</v>
      </c>
      <c r="C150" s="261" t="s">
        <v>5902</v>
      </c>
      <c r="D150" s="264" t="s">
        <v>5903</v>
      </c>
      <c r="E150" s="265" t="s">
        <v>5634</v>
      </c>
      <c r="F150" s="268" t="s">
        <v>5899</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5837</v>
      </c>
      <c r="B151" s="260" t="s">
        <v>5896</v>
      </c>
      <c r="C151" s="261" t="s">
        <v>5904</v>
      </c>
      <c r="D151" s="264" t="s">
        <v>5905</v>
      </c>
      <c r="E151" s="265" t="s">
        <v>5634</v>
      </c>
      <c r="F151" s="268" t="s">
        <v>5899</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5837</v>
      </c>
      <c r="B152" s="260" t="s">
        <v>5896</v>
      </c>
      <c r="C152" s="261" t="s">
        <v>5906</v>
      </c>
      <c r="D152" s="264" t="s">
        <v>5907</v>
      </c>
      <c r="E152" s="265" t="s">
        <v>5634</v>
      </c>
      <c r="F152" s="268" t="s">
        <v>5899</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5837</v>
      </c>
      <c r="B153" s="260" t="s">
        <v>5896</v>
      </c>
      <c r="C153" s="261" t="s">
        <v>5908</v>
      </c>
      <c r="D153" s="264" t="s">
        <v>5909</v>
      </c>
      <c r="E153" s="265" t="s">
        <v>5634</v>
      </c>
      <c r="F153" s="268" t="s">
        <v>5899</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5837</v>
      </c>
      <c r="B154" s="260" t="s">
        <v>5896</v>
      </c>
      <c r="C154" s="261" t="s">
        <v>5910</v>
      </c>
      <c r="D154" s="264" t="s">
        <v>5911</v>
      </c>
      <c r="E154" s="265" t="s">
        <v>5634</v>
      </c>
      <c r="F154" s="268" t="s">
        <v>5899</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5837</v>
      </c>
      <c r="B155" s="260" t="s">
        <v>5896</v>
      </c>
      <c r="C155" s="261" t="s">
        <v>5912</v>
      </c>
      <c r="D155" s="264" t="s">
        <v>5913</v>
      </c>
      <c r="E155" s="265" t="s">
        <v>5634</v>
      </c>
      <c r="F155" s="268" t="s">
        <v>5899</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5837</v>
      </c>
      <c r="B156" s="260" t="s">
        <v>5896</v>
      </c>
      <c r="C156" s="261" t="s">
        <v>5914</v>
      </c>
      <c r="D156" s="264" t="s">
        <v>5915</v>
      </c>
      <c r="E156" s="265" t="s">
        <v>5634</v>
      </c>
      <c r="F156" s="268" t="s">
        <v>5899</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5837</v>
      </c>
      <c r="B157" s="260" t="s">
        <v>5896</v>
      </c>
      <c r="C157" s="261" t="s">
        <v>5916</v>
      </c>
      <c r="D157" s="264" t="s">
        <v>5917</v>
      </c>
      <c r="E157" s="265" t="s">
        <v>5634</v>
      </c>
      <c r="F157" s="268" t="s">
        <v>5899</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5837</v>
      </c>
      <c r="B158" s="260" t="s">
        <v>5896</v>
      </c>
      <c r="C158" s="261" t="s">
        <v>5918</v>
      </c>
      <c r="D158" s="264" t="s">
        <v>5919</v>
      </c>
      <c r="E158" s="265" t="s">
        <v>5634</v>
      </c>
      <c r="F158" s="268" t="s">
        <v>5899</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5837</v>
      </c>
      <c r="B159" s="260" t="s">
        <v>5896</v>
      </c>
      <c r="C159" s="261" t="s">
        <v>5920</v>
      </c>
      <c r="D159" s="264" t="s">
        <v>5921</v>
      </c>
      <c r="E159" s="265" t="s">
        <v>5634</v>
      </c>
      <c r="F159" s="268" t="s">
        <v>5899</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5837</v>
      </c>
      <c r="B160" s="260" t="s">
        <v>5896</v>
      </c>
      <c r="C160" s="261" t="s">
        <v>5922</v>
      </c>
      <c r="D160" s="264" t="s">
        <v>5923</v>
      </c>
      <c r="E160" s="265" t="s">
        <v>5634</v>
      </c>
      <c r="F160" s="268" t="s">
        <v>5924</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5837</v>
      </c>
      <c r="B161" s="260" t="s">
        <v>5896</v>
      </c>
      <c r="C161" s="261" t="s">
        <v>5925</v>
      </c>
      <c r="D161" s="264" t="s">
        <v>5926</v>
      </c>
      <c r="E161" s="265" t="s">
        <v>5634</v>
      </c>
      <c r="F161" s="268" t="s">
        <v>5924</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5837</v>
      </c>
      <c r="B162" s="260" t="s">
        <v>5896</v>
      </c>
      <c r="C162" s="261" t="s">
        <v>5927</v>
      </c>
      <c r="D162" s="264" t="s">
        <v>5928</v>
      </c>
      <c r="E162" s="265" t="s">
        <v>5634</v>
      </c>
      <c r="F162" s="268" t="s">
        <v>5924</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5837</v>
      </c>
      <c r="B163" s="260" t="s">
        <v>5896</v>
      </c>
      <c r="C163" s="261" t="s">
        <v>5929</v>
      </c>
      <c r="D163" s="264" t="s">
        <v>5930</v>
      </c>
      <c r="E163" s="265" t="s">
        <v>5634</v>
      </c>
      <c r="F163" s="268" t="s">
        <v>5924</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5837</v>
      </c>
      <c r="B164" s="260" t="s">
        <v>5896</v>
      </c>
      <c r="C164" s="261" t="s">
        <v>5931</v>
      </c>
      <c r="D164" s="264" t="s">
        <v>5932</v>
      </c>
      <c r="E164" s="265" t="s">
        <v>5634</v>
      </c>
      <c r="F164" s="268" t="s">
        <v>5924</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5837</v>
      </c>
      <c r="B165" s="259" t="s">
        <v>5933</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5837</v>
      </c>
      <c r="B166" s="260" t="s">
        <v>5933</v>
      </c>
      <c r="C166" s="261" t="s">
        <v>5934</v>
      </c>
      <c r="D166" s="264" t="s">
        <v>5935</v>
      </c>
      <c r="E166" s="265" t="s">
        <v>5605</v>
      </c>
      <c r="F166" s="268" t="s">
        <v>5936</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5837</v>
      </c>
      <c r="B167" s="260" t="s">
        <v>5933</v>
      </c>
      <c r="C167" s="261" t="s">
        <v>5937</v>
      </c>
      <c r="D167" s="264" t="s">
        <v>5938</v>
      </c>
      <c r="E167" s="265" t="s">
        <v>5749</v>
      </c>
      <c r="F167" s="268" t="s">
        <v>5936</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5837</v>
      </c>
      <c r="B168" s="260" t="s">
        <v>5933</v>
      </c>
      <c r="C168" s="261" t="s">
        <v>5939</v>
      </c>
      <c r="D168" s="264" t="s">
        <v>5940</v>
      </c>
      <c r="E168" s="265" t="s">
        <v>5701</v>
      </c>
      <c r="F168" s="268" t="s">
        <v>5936</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5837</v>
      </c>
      <c r="B169" s="260" t="s">
        <v>5933</v>
      </c>
      <c r="C169" s="261" t="s">
        <v>5941</v>
      </c>
      <c r="D169" s="264" t="s">
        <v>5942</v>
      </c>
      <c r="E169" s="265" t="s">
        <v>5701</v>
      </c>
      <c r="F169" s="268" t="s">
        <v>5936</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5837</v>
      </c>
      <c r="B170" s="260" t="s">
        <v>5933</v>
      </c>
      <c r="C170" s="261" t="s">
        <v>5943</v>
      </c>
      <c r="D170" s="264" t="s">
        <v>5944</v>
      </c>
      <c r="E170" s="265" t="s">
        <v>5749</v>
      </c>
      <c r="F170" s="268" t="s">
        <v>5936</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5837</v>
      </c>
      <c r="B171" s="260" t="s">
        <v>5933</v>
      </c>
      <c r="C171" s="261" t="s">
        <v>5945</v>
      </c>
      <c r="D171" s="264" t="s">
        <v>5946</v>
      </c>
      <c r="E171" s="265" t="s">
        <v>5634</v>
      </c>
      <c r="F171" s="268" t="s">
        <v>5936</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5837</v>
      </c>
      <c r="B172" s="260" t="s">
        <v>5933</v>
      </c>
      <c r="C172" s="261" t="s">
        <v>5947</v>
      </c>
      <c r="D172" s="264" t="s">
        <v>5948</v>
      </c>
      <c r="E172" s="265" t="s">
        <v>5701</v>
      </c>
      <c r="F172" s="268" t="s">
        <v>5936</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5837</v>
      </c>
      <c r="B173" s="260" t="s">
        <v>5933</v>
      </c>
      <c r="C173" s="261" t="s">
        <v>5949</v>
      </c>
      <c r="D173" s="264" t="s">
        <v>5950</v>
      </c>
      <c r="E173" s="265" t="s">
        <v>5634</v>
      </c>
      <c r="F173" s="268" t="s">
        <v>5936</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5837</v>
      </c>
      <c r="B174" s="260" t="s">
        <v>5933</v>
      </c>
      <c r="C174" s="261" t="s">
        <v>5951</v>
      </c>
      <c r="D174" s="264" t="s">
        <v>5952</v>
      </c>
      <c r="E174" s="265" t="s">
        <v>5701</v>
      </c>
      <c r="F174" s="268" t="s">
        <v>5936</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5837</v>
      </c>
      <c r="B175" s="260" t="s">
        <v>5933</v>
      </c>
      <c r="C175" s="261" t="s">
        <v>5953</v>
      </c>
      <c r="D175" s="264" t="s">
        <v>5954</v>
      </c>
      <c r="E175" s="265" t="s">
        <v>5634</v>
      </c>
      <c r="F175" s="268" t="s">
        <v>5936</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5837</v>
      </c>
      <c r="B176" s="260" t="s">
        <v>5933</v>
      </c>
      <c r="C176" s="261" t="s">
        <v>5955</v>
      </c>
      <c r="D176" s="264" t="s">
        <v>5956</v>
      </c>
      <c r="E176" s="265" t="s">
        <v>5605</v>
      </c>
      <c r="F176" s="268" t="s">
        <v>5936</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5837</v>
      </c>
      <c r="B177" s="260" t="s">
        <v>5933</v>
      </c>
      <c r="C177" s="261" t="s">
        <v>5957</v>
      </c>
      <c r="D177" s="264" t="s">
        <v>5958</v>
      </c>
      <c r="E177" s="265" t="s">
        <v>5605</v>
      </c>
      <c r="F177" s="268" t="s">
        <v>5936</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5837</v>
      </c>
      <c r="B178" s="260" t="s">
        <v>5933</v>
      </c>
      <c r="C178" s="261" t="s">
        <v>5959</v>
      </c>
      <c r="D178" s="264" t="s">
        <v>5960</v>
      </c>
      <c r="E178" s="265" t="s">
        <v>5634</v>
      </c>
      <c r="F178" s="268" t="s">
        <v>5936</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5837</v>
      </c>
      <c r="B179" s="260" t="s">
        <v>5933</v>
      </c>
      <c r="C179" s="261" t="s">
        <v>5961</v>
      </c>
      <c r="D179" s="264" t="s">
        <v>5962</v>
      </c>
      <c r="E179" s="265" t="s">
        <v>5749</v>
      </c>
      <c r="F179" s="268" t="s">
        <v>5936</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5837</v>
      </c>
      <c r="B180" s="260" t="s">
        <v>5933</v>
      </c>
      <c r="C180" s="261" t="s">
        <v>5963</v>
      </c>
      <c r="D180" s="264" t="s">
        <v>5964</v>
      </c>
      <c r="E180" s="265" t="s">
        <v>5749</v>
      </c>
      <c r="F180" s="268" t="s">
        <v>5936</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5837</v>
      </c>
      <c r="B181" s="259" t="s">
        <v>5965</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5837</v>
      </c>
      <c r="B182" s="260" t="s">
        <v>5965</v>
      </c>
      <c r="C182" s="261" t="s">
        <v>5966</v>
      </c>
      <c r="D182" s="264" t="s">
        <v>5967</v>
      </c>
      <c r="E182" s="265" t="s">
        <v>5605</v>
      </c>
      <c r="F182" s="268" t="s">
        <v>5968</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5837</v>
      </c>
      <c r="B183" s="260" t="s">
        <v>5965</v>
      </c>
      <c r="C183" s="261" t="s">
        <v>5969</v>
      </c>
      <c r="D183" s="264" t="s">
        <v>5970</v>
      </c>
      <c r="E183" s="265" t="s">
        <v>5605</v>
      </c>
      <c r="F183" s="268" t="s">
        <v>5968</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5837</v>
      </c>
      <c r="B184" s="260" t="s">
        <v>5965</v>
      </c>
      <c r="C184" s="261" t="s">
        <v>5971</v>
      </c>
      <c r="D184" s="264" t="s">
        <v>5972</v>
      </c>
      <c r="E184" s="265" t="s">
        <v>5605</v>
      </c>
      <c r="F184" s="268" t="s">
        <v>5968</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5837</v>
      </c>
      <c r="B185" s="260" t="s">
        <v>5965</v>
      </c>
      <c r="C185" s="261" t="s">
        <v>5973</v>
      </c>
      <c r="D185" s="264" t="s">
        <v>5974</v>
      </c>
      <c r="E185" s="265" t="s">
        <v>5605</v>
      </c>
      <c r="F185" s="268" t="s">
        <v>5968</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5837</v>
      </c>
      <c r="B186" s="260" t="s">
        <v>5965</v>
      </c>
      <c r="C186" s="261" t="s">
        <v>5975</v>
      </c>
      <c r="D186" s="264" t="s">
        <v>5976</v>
      </c>
      <c r="E186" s="265" t="s">
        <v>5605</v>
      </c>
      <c r="F186" s="268" t="s">
        <v>5968</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5837</v>
      </c>
      <c r="B187" s="260" t="s">
        <v>5965</v>
      </c>
      <c r="C187" s="261" t="s">
        <v>5977</v>
      </c>
      <c r="D187" s="264" t="s">
        <v>5978</v>
      </c>
      <c r="E187" s="265" t="s">
        <v>5634</v>
      </c>
      <c r="F187" s="268" t="s">
        <v>5968</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5837</v>
      </c>
      <c r="B188" s="260" t="s">
        <v>5965</v>
      </c>
      <c r="C188" s="261" t="s">
        <v>5979</v>
      </c>
      <c r="D188" s="264" t="s">
        <v>5980</v>
      </c>
      <c r="E188" s="265" t="s">
        <v>5634</v>
      </c>
      <c r="F188" s="268" t="s">
        <v>5968</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5837</v>
      </c>
      <c r="B189" s="260" t="s">
        <v>5965</v>
      </c>
      <c r="C189" s="261" t="s">
        <v>5981</v>
      </c>
      <c r="D189" s="264" t="s">
        <v>5982</v>
      </c>
      <c r="E189" s="265" t="s">
        <v>5634</v>
      </c>
      <c r="F189" s="268" t="s">
        <v>5968</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5837</v>
      </c>
      <c r="B190" s="260" t="s">
        <v>5965</v>
      </c>
      <c r="C190" s="261" t="s">
        <v>5983</v>
      </c>
      <c r="D190" s="264" t="s">
        <v>5984</v>
      </c>
      <c r="E190" s="265" t="s">
        <v>5634</v>
      </c>
      <c r="F190" s="268" t="s">
        <v>5968</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5837</v>
      </c>
      <c r="B191" s="260" t="s">
        <v>5965</v>
      </c>
      <c r="C191" s="261" t="s">
        <v>5985</v>
      </c>
      <c r="D191" s="264" t="s">
        <v>5986</v>
      </c>
      <c r="E191" s="265" t="s">
        <v>5605</v>
      </c>
      <c r="F191" s="268" t="s">
        <v>5968</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5837</v>
      </c>
      <c r="B192" s="260" t="s">
        <v>5965</v>
      </c>
      <c r="C192" s="261" t="s">
        <v>5987</v>
      </c>
      <c r="D192" s="264" t="s">
        <v>5988</v>
      </c>
      <c r="E192" s="265" t="s">
        <v>5605</v>
      </c>
      <c r="F192" s="268" t="s">
        <v>5968</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5837</v>
      </c>
      <c r="B193" s="260" t="s">
        <v>5965</v>
      </c>
      <c r="C193" s="261" t="s">
        <v>5989</v>
      </c>
      <c r="D193" s="264" t="s">
        <v>5990</v>
      </c>
      <c r="E193" s="265" t="s">
        <v>5605</v>
      </c>
      <c r="F193" s="268" t="s">
        <v>5968</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5837</v>
      </c>
      <c r="B194" s="260" t="s">
        <v>5965</v>
      </c>
      <c r="C194" s="261" t="s">
        <v>5991</v>
      </c>
      <c r="D194" s="264" t="s">
        <v>5992</v>
      </c>
      <c r="E194" s="265" t="s">
        <v>5605</v>
      </c>
      <c r="F194" s="268" t="s">
        <v>5968</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5837</v>
      </c>
      <c r="B195" s="260" t="s">
        <v>5965</v>
      </c>
      <c r="C195" s="261" t="s">
        <v>5993</v>
      </c>
      <c r="D195" s="264" t="s">
        <v>5994</v>
      </c>
      <c r="E195" s="265" t="s">
        <v>5605</v>
      </c>
      <c r="F195" s="268" t="s">
        <v>5968</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5837</v>
      </c>
      <c r="B196" s="260" t="s">
        <v>5965</v>
      </c>
      <c r="C196" s="261" t="s">
        <v>5995</v>
      </c>
      <c r="D196" s="264" t="s">
        <v>5996</v>
      </c>
      <c r="E196" s="265" t="s">
        <v>5605</v>
      </c>
      <c r="F196" s="268" t="s">
        <v>5997</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5837</v>
      </c>
      <c r="B197" s="260" t="s">
        <v>5965</v>
      </c>
      <c r="C197" s="261" t="s">
        <v>5998</v>
      </c>
      <c r="D197" s="264" t="s">
        <v>5999</v>
      </c>
      <c r="E197" s="265" t="s">
        <v>5605</v>
      </c>
      <c r="F197" s="268" t="s">
        <v>5997</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5837</v>
      </c>
      <c r="B198" s="260" t="s">
        <v>5965</v>
      </c>
      <c r="C198" s="261" t="s">
        <v>6000</v>
      </c>
      <c r="D198" s="264" t="s">
        <v>6001</v>
      </c>
      <c r="E198" s="265" t="s">
        <v>5605</v>
      </c>
      <c r="F198" s="268" t="s">
        <v>5997</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5837</v>
      </c>
      <c r="B199" s="260" t="s">
        <v>5965</v>
      </c>
      <c r="C199" s="261" t="s">
        <v>6002</v>
      </c>
      <c r="D199" s="264" t="s">
        <v>6003</v>
      </c>
      <c r="E199" s="265" t="s">
        <v>5605</v>
      </c>
      <c r="F199" s="268" t="s">
        <v>5997</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6004</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6004</v>
      </c>
      <c r="B201" s="259" t="s">
        <v>6005</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6004</v>
      </c>
      <c r="B202" s="260" t="s">
        <v>6005</v>
      </c>
      <c r="C202" s="261" t="s">
        <v>6006</v>
      </c>
      <c r="D202" s="264" t="s">
        <v>6007</v>
      </c>
      <c r="E202" s="265" t="s">
        <v>5884</v>
      </c>
      <c r="F202" s="268" t="s">
        <v>6008</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6004</v>
      </c>
      <c r="B203" s="260" t="s">
        <v>6005</v>
      </c>
      <c r="C203" s="261" t="s">
        <v>6009</v>
      </c>
      <c r="D203" s="264" t="s">
        <v>6010</v>
      </c>
      <c r="E203" s="265" t="s">
        <v>5884</v>
      </c>
      <c r="F203" s="268" t="s">
        <v>6008</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6004</v>
      </c>
      <c r="B204" s="260" t="s">
        <v>6005</v>
      </c>
      <c r="C204" s="261" t="s">
        <v>6011</v>
      </c>
      <c r="D204" s="264" t="s">
        <v>6012</v>
      </c>
      <c r="E204" s="265" t="s">
        <v>5884</v>
      </c>
      <c r="F204" s="268" t="s">
        <v>6008</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6004</v>
      </c>
      <c r="B205" s="260" t="s">
        <v>6005</v>
      </c>
      <c r="C205" s="261" t="s">
        <v>6013</v>
      </c>
      <c r="D205" s="264" t="s">
        <v>6014</v>
      </c>
      <c r="E205" s="265" t="s">
        <v>5884</v>
      </c>
      <c r="F205" s="268" t="s">
        <v>6008</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6004</v>
      </c>
      <c r="B206" s="260" t="s">
        <v>6005</v>
      </c>
      <c r="C206" s="261" t="s">
        <v>6015</v>
      </c>
      <c r="D206" s="264" t="s">
        <v>6016</v>
      </c>
      <c r="E206" s="265" t="s">
        <v>5884</v>
      </c>
      <c r="F206" s="268" t="s">
        <v>6008</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6004</v>
      </c>
      <c r="B207" s="260" t="s">
        <v>6005</v>
      </c>
      <c r="C207" s="261" t="s">
        <v>6017</v>
      </c>
      <c r="D207" s="264" t="s">
        <v>6018</v>
      </c>
      <c r="E207" s="265" t="s">
        <v>5749</v>
      </c>
      <c r="F207" s="268" t="s">
        <v>6008</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6004</v>
      </c>
      <c r="B208" s="260" t="s">
        <v>6005</v>
      </c>
      <c r="C208" s="261" t="s">
        <v>6019</v>
      </c>
      <c r="D208" s="264" t="s">
        <v>6020</v>
      </c>
      <c r="E208" s="265" t="s">
        <v>5749</v>
      </c>
      <c r="F208" s="268" t="s">
        <v>6008</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6004</v>
      </c>
      <c r="B209" s="260" t="s">
        <v>6005</v>
      </c>
      <c r="C209" s="261" t="s">
        <v>6021</v>
      </c>
      <c r="D209" s="264" t="s">
        <v>6022</v>
      </c>
      <c r="E209" s="265" t="s">
        <v>5884</v>
      </c>
      <c r="F209" s="268" t="s">
        <v>6008</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6004</v>
      </c>
      <c r="B210" s="260" t="s">
        <v>6005</v>
      </c>
      <c r="C210" s="261" t="s">
        <v>6023</v>
      </c>
      <c r="D210" s="264" t="s">
        <v>6024</v>
      </c>
      <c r="E210" s="265" t="s">
        <v>5634</v>
      </c>
      <c r="F210" s="268" t="s">
        <v>6025</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6004</v>
      </c>
      <c r="B211" s="260" t="s">
        <v>6005</v>
      </c>
      <c r="C211" s="261" t="s">
        <v>6026</v>
      </c>
      <c r="D211" s="264" t="s">
        <v>6027</v>
      </c>
      <c r="E211" s="265" t="s">
        <v>5634</v>
      </c>
      <c r="F211" s="268" t="s">
        <v>6025</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6004</v>
      </c>
      <c r="B212" s="260" t="s">
        <v>6005</v>
      </c>
      <c r="C212" s="261" t="s">
        <v>6028</v>
      </c>
      <c r="D212" s="264" t="s">
        <v>6029</v>
      </c>
      <c r="E212" s="265" t="s">
        <v>5701</v>
      </c>
      <c r="F212" s="268" t="s">
        <v>6030</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6004</v>
      </c>
      <c r="B213" s="260" t="s">
        <v>6005</v>
      </c>
      <c r="C213" s="261" t="s">
        <v>6031</v>
      </c>
      <c r="D213" s="264" t="s">
        <v>6032</v>
      </c>
      <c r="E213" s="265" t="s">
        <v>5634</v>
      </c>
      <c r="F213" s="268" t="s">
        <v>6033</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6004</v>
      </c>
      <c r="B214" s="260" t="s">
        <v>6005</v>
      </c>
      <c r="C214" s="261" t="s">
        <v>6034</v>
      </c>
      <c r="D214" s="264" t="s">
        <v>6035</v>
      </c>
      <c r="E214" s="265" t="s">
        <v>5701</v>
      </c>
      <c r="F214" s="268" t="s">
        <v>6036</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6004</v>
      </c>
      <c r="B215" s="260" t="s">
        <v>6005</v>
      </c>
      <c r="C215" s="261" t="s">
        <v>6037</v>
      </c>
      <c r="D215" s="264" t="s">
        <v>6038</v>
      </c>
      <c r="E215" s="265" t="s">
        <v>5605</v>
      </c>
      <c r="F215" s="268" t="s">
        <v>6036</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6004</v>
      </c>
      <c r="B216" s="260" t="s">
        <v>6005</v>
      </c>
      <c r="C216" s="261" t="s">
        <v>6039</v>
      </c>
      <c r="D216" s="264" t="s">
        <v>6040</v>
      </c>
      <c r="E216" s="265" t="s">
        <v>5605</v>
      </c>
      <c r="F216" s="268" t="s">
        <v>6036</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6004</v>
      </c>
      <c r="B217" s="260" t="s">
        <v>6005</v>
      </c>
      <c r="C217" s="261" t="s">
        <v>6041</v>
      </c>
      <c r="D217" s="264" t="s">
        <v>6042</v>
      </c>
      <c r="E217" s="265" t="s">
        <v>5634</v>
      </c>
      <c r="F217" s="268" t="s">
        <v>6036</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6004</v>
      </c>
      <c r="B218" s="260" t="s">
        <v>6005</v>
      </c>
      <c r="C218" s="261" t="s">
        <v>6043</v>
      </c>
      <c r="D218" s="264" t="s">
        <v>6044</v>
      </c>
      <c r="E218" s="265" t="s">
        <v>5634</v>
      </c>
      <c r="F218" s="268" t="s">
        <v>6036</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6004</v>
      </c>
      <c r="B219" s="260" t="s">
        <v>6005</v>
      </c>
      <c r="C219" s="261" t="s">
        <v>6045</v>
      </c>
      <c r="D219" s="264" t="s">
        <v>6046</v>
      </c>
      <c r="E219" s="265" t="s">
        <v>5634</v>
      </c>
      <c r="F219" s="268" t="s">
        <v>6036</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6004</v>
      </c>
      <c r="B220" s="260" t="s">
        <v>6005</v>
      </c>
      <c r="C220" s="261" t="s">
        <v>6047</v>
      </c>
      <c r="D220" s="264" t="s">
        <v>6048</v>
      </c>
      <c r="E220" s="265" t="s">
        <v>5634</v>
      </c>
      <c r="F220" s="268" t="s">
        <v>6036</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6004</v>
      </c>
      <c r="B221" s="259" t="s">
        <v>6049</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6004</v>
      </c>
      <c r="B222" s="260" t="s">
        <v>6049</v>
      </c>
      <c r="C222" s="261" t="s">
        <v>6050</v>
      </c>
      <c r="D222" s="264" t="s">
        <v>6051</v>
      </c>
      <c r="E222" s="265" t="s">
        <v>5701</v>
      </c>
      <c r="F222" s="268" t="s">
        <v>6052</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6004</v>
      </c>
      <c r="B223" s="260" t="s">
        <v>6049</v>
      </c>
      <c r="C223" s="261" t="s">
        <v>6053</v>
      </c>
      <c r="D223" s="264" t="s">
        <v>6054</v>
      </c>
      <c r="E223" s="265" t="s">
        <v>5701</v>
      </c>
      <c r="F223" s="268" t="s">
        <v>6052</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6004</v>
      </c>
      <c r="B224" s="260" t="s">
        <v>6049</v>
      </c>
      <c r="C224" s="261" t="s">
        <v>6055</v>
      </c>
      <c r="D224" s="264" t="s">
        <v>6056</v>
      </c>
      <c r="E224" s="265" t="s">
        <v>5701</v>
      </c>
      <c r="F224" s="268" t="s">
        <v>6052</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6004</v>
      </c>
      <c r="B225" s="260" t="s">
        <v>6049</v>
      </c>
      <c r="C225" s="261" t="s">
        <v>6057</v>
      </c>
      <c r="D225" s="264" t="s">
        <v>6058</v>
      </c>
      <c r="E225" s="265" t="s">
        <v>5701</v>
      </c>
      <c r="F225" s="268" t="s">
        <v>6052</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6004</v>
      </c>
      <c r="B226" s="260" t="s">
        <v>6049</v>
      </c>
      <c r="C226" s="261" t="s">
        <v>6059</v>
      </c>
      <c r="D226" s="264" t="s">
        <v>6060</v>
      </c>
      <c r="E226" s="265" t="s">
        <v>5701</v>
      </c>
      <c r="F226" s="268" t="s">
        <v>6052</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6004</v>
      </c>
      <c r="B227" s="260" t="s">
        <v>6049</v>
      </c>
      <c r="C227" s="261" t="s">
        <v>6061</v>
      </c>
      <c r="D227" s="264" t="s">
        <v>6062</v>
      </c>
      <c r="E227" s="265" t="s">
        <v>5701</v>
      </c>
      <c r="F227" s="268" t="s">
        <v>6052</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6004</v>
      </c>
      <c r="B228" s="260" t="s">
        <v>6049</v>
      </c>
      <c r="C228" s="261" t="s">
        <v>6063</v>
      </c>
      <c r="D228" s="264" t="s">
        <v>6064</v>
      </c>
      <c r="E228" s="265" t="s">
        <v>5701</v>
      </c>
      <c r="F228" s="268" t="s">
        <v>6052</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6004</v>
      </c>
      <c r="B229" s="260" t="s">
        <v>6049</v>
      </c>
      <c r="C229" s="261" t="s">
        <v>6065</v>
      </c>
      <c r="D229" s="264" t="s">
        <v>6066</v>
      </c>
      <c r="E229" s="265" t="s">
        <v>5605</v>
      </c>
      <c r="F229" s="268" t="s">
        <v>6052</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6004</v>
      </c>
      <c r="B230" s="260" t="s">
        <v>6049</v>
      </c>
      <c r="C230" s="261" t="s">
        <v>6067</v>
      </c>
      <c r="D230" s="264" t="s">
        <v>6068</v>
      </c>
      <c r="E230" s="265" t="s">
        <v>5605</v>
      </c>
      <c r="F230" s="268" t="s">
        <v>6052</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6004</v>
      </c>
      <c r="B231" s="260" t="s">
        <v>6049</v>
      </c>
      <c r="C231" s="261" t="s">
        <v>6069</v>
      </c>
      <c r="D231" s="264" t="s">
        <v>6070</v>
      </c>
      <c r="E231" s="265" t="s">
        <v>5701</v>
      </c>
      <c r="F231" s="268" t="s">
        <v>6071</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6004</v>
      </c>
      <c r="B232" s="260" t="s">
        <v>6049</v>
      </c>
      <c r="C232" s="261" t="s">
        <v>6072</v>
      </c>
      <c r="D232" s="264" t="s">
        <v>6073</v>
      </c>
      <c r="E232" s="265" t="s">
        <v>5701</v>
      </c>
      <c r="F232" s="268" t="s">
        <v>6071</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6004</v>
      </c>
      <c r="B233" s="260" t="s">
        <v>6049</v>
      </c>
      <c r="C233" s="261" t="s">
        <v>6074</v>
      </c>
      <c r="D233" s="264" t="s">
        <v>6075</v>
      </c>
      <c r="E233" s="265" t="s">
        <v>5634</v>
      </c>
      <c r="F233" s="268" t="s">
        <v>6071</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6004</v>
      </c>
      <c r="B234" s="260" t="s">
        <v>6049</v>
      </c>
      <c r="C234" s="261" t="s">
        <v>6076</v>
      </c>
      <c r="D234" s="264" t="s">
        <v>6077</v>
      </c>
      <c r="E234" s="265" t="s">
        <v>5634</v>
      </c>
      <c r="F234" s="268" t="s">
        <v>6071</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6004</v>
      </c>
      <c r="B235" s="260" t="s">
        <v>6049</v>
      </c>
      <c r="C235" s="261" t="s">
        <v>6078</v>
      </c>
      <c r="D235" s="264" t="s">
        <v>6079</v>
      </c>
      <c r="E235" s="265" t="s">
        <v>5701</v>
      </c>
      <c r="F235" s="268" t="s">
        <v>6071</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6004</v>
      </c>
      <c r="B236" s="260" t="s">
        <v>6049</v>
      </c>
      <c r="C236" s="261" t="s">
        <v>6080</v>
      </c>
      <c r="D236" s="264" t="s">
        <v>6081</v>
      </c>
      <c r="E236" s="265" t="s">
        <v>5634</v>
      </c>
      <c r="F236" s="268" t="s">
        <v>6071</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6004</v>
      </c>
      <c r="B237" s="259" t="s">
        <v>2238</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6004</v>
      </c>
      <c r="B238" s="260" t="s">
        <v>2238</v>
      </c>
      <c r="C238" s="261" t="s">
        <v>6082</v>
      </c>
      <c r="D238" s="264" t="s">
        <v>6083</v>
      </c>
      <c r="E238" s="265" t="s">
        <v>5605</v>
      </c>
      <c r="F238" s="268" t="s">
        <v>6084</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6004</v>
      </c>
      <c r="B239" s="260" t="s">
        <v>2238</v>
      </c>
      <c r="C239" s="261" t="s">
        <v>6085</v>
      </c>
      <c r="D239" s="264" t="s">
        <v>6086</v>
      </c>
      <c r="E239" s="265" t="s">
        <v>5605</v>
      </c>
      <c r="F239" s="268" t="s">
        <v>6084</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6004</v>
      </c>
      <c r="B240" s="260" t="s">
        <v>2238</v>
      </c>
      <c r="C240" s="261" t="s">
        <v>6087</v>
      </c>
      <c r="D240" s="264" t="s">
        <v>6088</v>
      </c>
      <c r="E240" s="265" t="s">
        <v>5605</v>
      </c>
      <c r="F240" s="268" t="s">
        <v>6084</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6004</v>
      </c>
      <c r="B241" s="260" t="s">
        <v>2238</v>
      </c>
      <c r="C241" s="261" t="s">
        <v>6089</v>
      </c>
      <c r="D241" s="264" t="s">
        <v>6090</v>
      </c>
      <c r="E241" s="265" t="s">
        <v>5605</v>
      </c>
      <c r="F241" s="268" t="s">
        <v>6084</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6004</v>
      </c>
      <c r="B242" s="260" t="s">
        <v>2238</v>
      </c>
      <c r="C242" s="261" t="s">
        <v>6091</v>
      </c>
      <c r="D242" s="264" t="s">
        <v>6092</v>
      </c>
      <c r="E242" s="265" t="s">
        <v>5605</v>
      </c>
      <c r="F242" s="268" t="s">
        <v>6084</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6004</v>
      </c>
      <c r="B243" s="260" t="s">
        <v>2238</v>
      </c>
      <c r="C243" s="261" t="s">
        <v>6093</v>
      </c>
      <c r="D243" s="264" t="s">
        <v>6094</v>
      </c>
      <c r="E243" s="265" t="s">
        <v>5605</v>
      </c>
      <c r="F243" s="268" t="s">
        <v>6084</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6004</v>
      </c>
      <c r="B244" s="260" t="s">
        <v>2238</v>
      </c>
      <c r="C244" s="261" t="s">
        <v>6095</v>
      </c>
      <c r="D244" s="264" t="s">
        <v>6096</v>
      </c>
      <c r="E244" s="265" t="s">
        <v>5605</v>
      </c>
      <c r="F244" s="268" t="s">
        <v>6084</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6004</v>
      </c>
      <c r="B245" s="260" t="s">
        <v>2238</v>
      </c>
      <c r="C245" s="261" t="s">
        <v>6097</v>
      </c>
      <c r="D245" s="264" t="s">
        <v>6098</v>
      </c>
      <c r="E245" s="265" t="s">
        <v>5605</v>
      </c>
      <c r="F245" s="268" t="s">
        <v>6084</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6004</v>
      </c>
      <c r="B246" s="260" t="s">
        <v>2238</v>
      </c>
      <c r="C246" s="261" t="s">
        <v>6099</v>
      </c>
      <c r="D246" s="264" t="s">
        <v>6100</v>
      </c>
      <c r="E246" s="265" t="s">
        <v>5605</v>
      </c>
      <c r="F246" s="268" t="s">
        <v>6084</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6004</v>
      </c>
      <c r="B247" s="260" t="s">
        <v>2238</v>
      </c>
      <c r="C247" s="261" t="s">
        <v>6101</v>
      </c>
      <c r="D247" s="264" t="s">
        <v>6102</v>
      </c>
      <c r="E247" s="265" t="s">
        <v>5605</v>
      </c>
      <c r="F247" s="268" t="s">
        <v>6084</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6004</v>
      </c>
      <c r="B248" s="260" t="s">
        <v>2238</v>
      </c>
      <c r="C248" s="261" t="s">
        <v>6103</v>
      </c>
      <c r="D248" s="264" t="s">
        <v>6104</v>
      </c>
      <c r="E248" s="265" t="s">
        <v>5634</v>
      </c>
      <c r="F248" s="268" t="s">
        <v>6084</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6004</v>
      </c>
      <c r="B249" s="260" t="s">
        <v>2238</v>
      </c>
      <c r="C249" s="261" t="s">
        <v>6105</v>
      </c>
      <c r="D249" s="264" t="s">
        <v>6106</v>
      </c>
      <c r="E249" s="265" t="s">
        <v>5634</v>
      </c>
      <c r="F249" s="268" t="s">
        <v>6107</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6004</v>
      </c>
      <c r="B250" s="260" t="s">
        <v>2238</v>
      </c>
      <c r="C250" s="261" t="s">
        <v>6108</v>
      </c>
      <c r="D250" s="264" t="s">
        <v>6109</v>
      </c>
      <c r="E250" s="265" t="s">
        <v>5634</v>
      </c>
      <c r="F250" s="268" t="s">
        <v>6107</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6004</v>
      </c>
      <c r="B251" s="259" t="s">
        <v>6110</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6004</v>
      </c>
      <c r="B252" s="260" t="s">
        <v>6110</v>
      </c>
      <c r="C252" s="261" t="s">
        <v>6111</v>
      </c>
      <c r="D252" s="264" t="s">
        <v>6112</v>
      </c>
      <c r="E252" s="265" t="s">
        <v>5701</v>
      </c>
      <c r="F252" s="268" t="s">
        <v>6113</v>
      </c>
      <c r="G252" s="271">
        <f>IF(COUNTIF(H252:AU252,"&lt;&gt;")=0,"",SUMPRODUCT(((Recommendations[ImplStatus]="Implemented")+(Recommendations[ImplStatus]="Compensated"))*ISNUMBER(MATCH(Recommendations[Id],H252:AU252,0)))/COUNTIF(H252:AU252,"&lt;&gt;"))</f>
        <v>0</v>
      </c>
      <c r="H252" s="272" t="s">
        <v>358</v>
      </c>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6004</v>
      </c>
      <c r="B253" s="260" t="s">
        <v>6110</v>
      </c>
      <c r="C253" s="261" t="s">
        <v>6114</v>
      </c>
      <c r="D253" s="264" t="s">
        <v>6115</v>
      </c>
      <c r="E253" s="265" t="s">
        <v>5701</v>
      </c>
      <c r="F253" s="268" t="s">
        <v>6113</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6004</v>
      </c>
      <c r="B254" s="260" t="s">
        <v>6110</v>
      </c>
      <c r="C254" s="261" t="s">
        <v>6116</v>
      </c>
      <c r="D254" s="264" t="s">
        <v>6117</v>
      </c>
      <c r="E254" s="265" t="s">
        <v>5701</v>
      </c>
      <c r="F254" s="268" t="s">
        <v>6113</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6004</v>
      </c>
      <c r="B255" s="260" t="s">
        <v>6110</v>
      </c>
      <c r="C255" s="261" t="s">
        <v>6118</v>
      </c>
      <c r="D255" s="264" t="s">
        <v>6119</v>
      </c>
      <c r="E255" s="265" t="s">
        <v>5701</v>
      </c>
      <c r="F255" s="268" t="s">
        <v>6113</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6004</v>
      </c>
      <c r="B256" s="260" t="s">
        <v>6110</v>
      </c>
      <c r="C256" s="261" t="s">
        <v>6120</v>
      </c>
      <c r="D256" s="264" t="s">
        <v>6121</v>
      </c>
      <c r="E256" s="265" t="s">
        <v>5701</v>
      </c>
      <c r="F256" s="268" t="s">
        <v>6113</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6004</v>
      </c>
      <c r="B257" s="260" t="s">
        <v>6110</v>
      </c>
      <c r="C257" s="261" t="s">
        <v>6122</v>
      </c>
      <c r="D257" s="264" t="s">
        <v>6123</v>
      </c>
      <c r="E257" s="265" t="s">
        <v>5605</v>
      </c>
      <c r="F257" s="268" t="s">
        <v>6113</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6004</v>
      </c>
      <c r="B258" s="260" t="s">
        <v>6110</v>
      </c>
      <c r="C258" s="261" t="s">
        <v>6124</v>
      </c>
      <c r="D258" s="264" t="s">
        <v>6125</v>
      </c>
      <c r="E258" s="265" t="s">
        <v>5605</v>
      </c>
      <c r="F258" s="268" t="s">
        <v>6113</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6004</v>
      </c>
      <c r="B259" s="260" t="s">
        <v>6110</v>
      </c>
      <c r="C259" s="261" t="s">
        <v>6126</v>
      </c>
      <c r="D259" s="264" t="s">
        <v>6127</v>
      </c>
      <c r="E259" s="265" t="s">
        <v>5605</v>
      </c>
      <c r="F259" s="268" t="s">
        <v>6113</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6004</v>
      </c>
      <c r="B260" s="260" t="s">
        <v>6110</v>
      </c>
      <c r="C260" s="261" t="s">
        <v>6128</v>
      </c>
      <c r="D260" s="264" t="s">
        <v>6129</v>
      </c>
      <c r="E260" s="265" t="s">
        <v>5605</v>
      </c>
      <c r="F260" s="268" t="s">
        <v>6113</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6004</v>
      </c>
      <c r="B261" s="260" t="s">
        <v>6110</v>
      </c>
      <c r="C261" s="261" t="s">
        <v>6130</v>
      </c>
      <c r="D261" s="264" t="s">
        <v>6131</v>
      </c>
      <c r="E261" s="265" t="s">
        <v>5749</v>
      </c>
      <c r="F261" s="268" t="s">
        <v>6113</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6004</v>
      </c>
      <c r="B262" s="260" t="s">
        <v>6110</v>
      </c>
      <c r="C262" s="261" t="s">
        <v>6132</v>
      </c>
      <c r="D262" s="264" t="s">
        <v>6133</v>
      </c>
      <c r="E262" s="265" t="s">
        <v>5749</v>
      </c>
      <c r="F262" s="268" t="s">
        <v>6113</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6004</v>
      </c>
      <c r="B263" s="260" t="s">
        <v>6110</v>
      </c>
      <c r="C263" s="261" t="s">
        <v>6134</v>
      </c>
      <c r="D263" s="264" t="s">
        <v>6135</v>
      </c>
      <c r="E263" s="265" t="s">
        <v>5749</v>
      </c>
      <c r="F263" s="268" t="s">
        <v>6113</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6004</v>
      </c>
      <c r="B264" s="259" t="s">
        <v>6136</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6004</v>
      </c>
      <c r="B265" s="260" t="s">
        <v>6136</v>
      </c>
      <c r="C265" s="261" t="s">
        <v>6137</v>
      </c>
      <c r="D265" s="264" t="s">
        <v>6138</v>
      </c>
      <c r="E265" s="265" t="s">
        <v>5634</v>
      </c>
      <c r="F265" s="268" t="s">
        <v>6139</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6004</v>
      </c>
      <c r="B266" s="260" t="s">
        <v>6136</v>
      </c>
      <c r="C266" s="261" t="s">
        <v>6140</v>
      </c>
      <c r="D266" s="264" t="s">
        <v>6141</v>
      </c>
      <c r="E266" s="265" t="s">
        <v>5634</v>
      </c>
      <c r="F266" s="268" t="s">
        <v>6139</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6004</v>
      </c>
      <c r="B267" s="260" t="s">
        <v>6136</v>
      </c>
      <c r="C267" s="261" t="s">
        <v>6142</v>
      </c>
      <c r="D267" s="264" t="s">
        <v>6143</v>
      </c>
      <c r="E267" s="265" t="s">
        <v>5634</v>
      </c>
      <c r="F267" s="268" t="s">
        <v>6139</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6004</v>
      </c>
      <c r="B268" s="260" t="s">
        <v>6136</v>
      </c>
      <c r="C268" s="261" t="s">
        <v>6144</v>
      </c>
      <c r="D268" s="264" t="s">
        <v>6145</v>
      </c>
      <c r="E268" s="265" t="s">
        <v>5634</v>
      </c>
      <c r="F268" s="268" t="s">
        <v>6139</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6004</v>
      </c>
      <c r="B269" s="260" t="s">
        <v>6136</v>
      </c>
      <c r="C269" s="261" t="s">
        <v>6146</v>
      </c>
      <c r="D269" s="264" t="s">
        <v>6147</v>
      </c>
      <c r="E269" s="265" t="s">
        <v>5634</v>
      </c>
      <c r="F269" s="268" t="s">
        <v>6139</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6004</v>
      </c>
      <c r="B270" s="260" t="s">
        <v>6136</v>
      </c>
      <c r="C270" s="261" t="s">
        <v>6148</v>
      </c>
      <c r="D270" s="264" t="s">
        <v>6149</v>
      </c>
      <c r="E270" s="265" t="s">
        <v>5634</v>
      </c>
      <c r="F270" s="268" t="s">
        <v>6139</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6004</v>
      </c>
      <c r="B271" s="260" t="s">
        <v>6136</v>
      </c>
      <c r="C271" s="261" t="s">
        <v>6150</v>
      </c>
      <c r="D271" s="264" t="s">
        <v>6151</v>
      </c>
      <c r="E271" s="265" t="s">
        <v>5634</v>
      </c>
      <c r="F271" s="268" t="s">
        <v>6139</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6004</v>
      </c>
      <c r="B272" s="260" t="s">
        <v>6136</v>
      </c>
      <c r="C272" s="261" t="s">
        <v>6152</v>
      </c>
      <c r="D272" s="264" t="s">
        <v>6153</v>
      </c>
      <c r="E272" s="265" t="s">
        <v>5634</v>
      </c>
      <c r="F272" s="268" t="s">
        <v>6139</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6004</v>
      </c>
      <c r="B273" s="260" t="s">
        <v>6136</v>
      </c>
      <c r="C273" s="261" t="s">
        <v>6154</v>
      </c>
      <c r="D273" s="264" t="s">
        <v>6155</v>
      </c>
      <c r="E273" s="265" t="s">
        <v>5634</v>
      </c>
      <c r="F273" s="268" t="s">
        <v>6139</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6156</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6156</v>
      </c>
      <c r="B275" s="259" t="s">
        <v>6157</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6156</v>
      </c>
      <c r="B276" s="260" t="s">
        <v>6157</v>
      </c>
      <c r="C276" s="261" t="s">
        <v>6158</v>
      </c>
      <c r="D276" s="264" t="s">
        <v>6159</v>
      </c>
      <c r="E276" s="265" t="s">
        <v>5605</v>
      </c>
      <c r="F276" s="268" t="s">
        <v>6160</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6156</v>
      </c>
      <c r="B277" s="260" t="s">
        <v>6157</v>
      </c>
      <c r="C277" s="261" t="s">
        <v>6161</v>
      </c>
      <c r="D277" s="264" t="s">
        <v>6162</v>
      </c>
      <c r="E277" s="265" t="s">
        <v>5605</v>
      </c>
      <c r="F277" s="268" t="s">
        <v>6160</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6156</v>
      </c>
      <c r="B278" s="260" t="s">
        <v>6157</v>
      </c>
      <c r="C278" s="261" t="s">
        <v>6163</v>
      </c>
      <c r="D278" s="264" t="s">
        <v>6164</v>
      </c>
      <c r="E278" s="265" t="s">
        <v>5605</v>
      </c>
      <c r="F278" s="268" t="s">
        <v>6160</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6156</v>
      </c>
      <c r="B279" s="260" t="s">
        <v>6157</v>
      </c>
      <c r="C279" s="261" t="s">
        <v>6165</v>
      </c>
      <c r="D279" s="264" t="s">
        <v>6166</v>
      </c>
      <c r="E279" s="265" t="s">
        <v>5605</v>
      </c>
      <c r="F279" s="268" t="s">
        <v>6160</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6156</v>
      </c>
      <c r="B280" s="260" t="s">
        <v>6157</v>
      </c>
      <c r="C280" s="261" t="s">
        <v>6167</v>
      </c>
      <c r="D280" s="264" t="s">
        <v>6168</v>
      </c>
      <c r="E280" s="265" t="s">
        <v>5605</v>
      </c>
      <c r="F280" s="268" t="s">
        <v>6160</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6156</v>
      </c>
      <c r="B281" s="260" t="s">
        <v>6157</v>
      </c>
      <c r="C281" s="261" t="s">
        <v>6169</v>
      </c>
      <c r="D281" s="264" t="s">
        <v>6170</v>
      </c>
      <c r="E281" s="265" t="s">
        <v>5605</v>
      </c>
      <c r="F281" s="268" t="s">
        <v>6160</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6156</v>
      </c>
      <c r="B282" s="260" t="s">
        <v>6157</v>
      </c>
      <c r="C282" s="261" t="s">
        <v>6171</v>
      </c>
      <c r="D282" s="264" t="s">
        <v>6172</v>
      </c>
      <c r="E282" s="265" t="s">
        <v>5605</v>
      </c>
      <c r="F282" s="268" t="s">
        <v>6160</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6156</v>
      </c>
      <c r="B283" s="260" t="s">
        <v>6157</v>
      </c>
      <c r="C283" s="261" t="s">
        <v>6173</v>
      </c>
      <c r="D283" s="264" t="s">
        <v>6174</v>
      </c>
      <c r="E283" s="265" t="s">
        <v>5701</v>
      </c>
      <c r="F283" s="268" t="s">
        <v>6175</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6156</v>
      </c>
      <c r="B284" s="260" t="s">
        <v>6157</v>
      </c>
      <c r="C284" s="261" t="s">
        <v>6176</v>
      </c>
      <c r="D284" s="264" t="s">
        <v>6177</v>
      </c>
      <c r="E284" s="265" t="s">
        <v>5701</v>
      </c>
      <c r="F284" s="268" t="s">
        <v>6175</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6156</v>
      </c>
      <c r="B285" s="260" t="s">
        <v>6157</v>
      </c>
      <c r="C285" s="261" t="s">
        <v>6178</v>
      </c>
      <c r="D285" s="264" t="s">
        <v>6179</v>
      </c>
      <c r="E285" s="265" t="s">
        <v>5605</v>
      </c>
      <c r="F285" s="268" t="s">
        <v>6175</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6156</v>
      </c>
      <c r="B286" s="260" t="s">
        <v>6157</v>
      </c>
      <c r="C286" s="261" t="s">
        <v>6180</v>
      </c>
      <c r="D286" s="264" t="s">
        <v>6181</v>
      </c>
      <c r="E286" s="265" t="s">
        <v>5634</v>
      </c>
      <c r="F286" s="268" t="s">
        <v>6175</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6156</v>
      </c>
      <c r="B287" s="260" t="s">
        <v>6157</v>
      </c>
      <c r="C287" s="261" t="s">
        <v>6182</v>
      </c>
      <c r="D287" s="264" t="s">
        <v>6183</v>
      </c>
      <c r="E287" s="265" t="s">
        <v>5634</v>
      </c>
      <c r="F287" s="268" t="s">
        <v>6175</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6156</v>
      </c>
      <c r="B288" s="260" t="s">
        <v>6157</v>
      </c>
      <c r="C288" s="261" t="s">
        <v>6184</v>
      </c>
      <c r="D288" s="264" t="s">
        <v>6185</v>
      </c>
      <c r="E288" s="265" t="s">
        <v>5634</v>
      </c>
      <c r="F288" s="268" t="s">
        <v>6175</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6156</v>
      </c>
      <c r="B289" s="260" t="s">
        <v>6157</v>
      </c>
      <c r="C289" s="261" t="s">
        <v>6186</v>
      </c>
      <c r="D289" s="264" t="s">
        <v>6187</v>
      </c>
      <c r="E289" s="265" t="s">
        <v>5634</v>
      </c>
      <c r="F289" s="268" t="s">
        <v>6175</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6156</v>
      </c>
      <c r="B290" s="260" t="s">
        <v>6157</v>
      </c>
      <c r="C290" s="261" t="s">
        <v>6188</v>
      </c>
      <c r="D290" s="264" t="s">
        <v>6189</v>
      </c>
      <c r="E290" s="265" t="s">
        <v>5605</v>
      </c>
      <c r="F290" s="268" t="s">
        <v>6175</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6156</v>
      </c>
      <c r="B291" s="260" t="s">
        <v>6157</v>
      </c>
      <c r="C291" s="261" t="s">
        <v>6190</v>
      </c>
      <c r="D291" s="264" t="s">
        <v>6191</v>
      </c>
      <c r="E291" s="265" t="s">
        <v>5634</v>
      </c>
      <c r="F291" s="268" t="s">
        <v>6192</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6156</v>
      </c>
      <c r="B292" s="260" t="s">
        <v>6157</v>
      </c>
      <c r="C292" s="261" t="s">
        <v>6193</v>
      </c>
      <c r="D292" s="264" t="s">
        <v>6194</v>
      </c>
      <c r="E292" s="265" t="s">
        <v>5634</v>
      </c>
      <c r="F292" s="268" t="s">
        <v>6192</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6156</v>
      </c>
      <c r="B293" s="260" t="s">
        <v>6157</v>
      </c>
      <c r="C293" s="261" t="s">
        <v>6195</v>
      </c>
      <c r="D293" s="264" t="s">
        <v>6196</v>
      </c>
      <c r="E293" s="265" t="s">
        <v>5884</v>
      </c>
      <c r="F293" s="268" t="s">
        <v>6175</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6156</v>
      </c>
      <c r="B294" s="260" t="s">
        <v>6157</v>
      </c>
      <c r="C294" s="261" t="s">
        <v>6197</v>
      </c>
      <c r="D294" s="264" t="s">
        <v>6198</v>
      </c>
      <c r="E294" s="265" t="s">
        <v>5884</v>
      </c>
      <c r="F294" s="268" t="s">
        <v>6175</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6156</v>
      </c>
      <c r="B295" s="260" t="s">
        <v>6157</v>
      </c>
      <c r="C295" s="261" t="s">
        <v>6199</v>
      </c>
      <c r="D295" s="264" t="s">
        <v>6200</v>
      </c>
      <c r="E295" s="265" t="s">
        <v>5701</v>
      </c>
      <c r="F295" s="268" t="s">
        <v>6175</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6156</v>
      </c>
      <c r="B296" s="260" t="s">
        <v>6157</v>
      </c>
      <c r="C296" s="261" t="s">
        <v>6201</v>
      </c>
      <c r="D296" s="264" t="s">
        <v>6202</v>
      </c>
      <c r="E296" s="265" t="s">
        <v>5701</v>
      </c>
      <c r="F296" s="268" t="s">
        <v>6175</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6156</v>
      </c>
      <c r="B297" s="260" t="s">
        <v>6157</v>
      </c>
      <c r="C297" s="261" t="s">
        <v>6203</v>
      </c>
      <c r="D297" s="264" t="s">
        <v>6204</v>
      </c>
      <c r="E297" s="265" t="s">
        <v>5605</v>
      </c>
      <c r="F297" s="268" t="s">
        <v>6175</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6156</v>
      </c>
      <c r="B298" s="260" t="s">
        <v>6157</v>
      </c>
      <c r="C298" s="261" t="s">
        <v>6205</v>
      </c>
      <c r="D298" s="264" t="s">
        <v>6206</v>
      </c>
      <c r="E298" s="265" t="s">
        <v>5701</v>
      </c>
      <c r="F298" s="268" t="s">
        <v>6175</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6156</v>
      </c>
      <c r="B299" s="260" t="s">
        <v>6157</v>
      </c>
      <c r="C299" s="261" t="s">
        <v>6207</v>
      </c>
      <c r="D299" s="264" t="s">
        <v>6208</v>
      </c>
      <c r="E299" s="265" t="s">
        <v>5634</v>
      </c>
      <c r="F299" s="268" t="s">
        <v>6175</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6156</v>
      </c>
      <c r="B300" s="260" t="s">
        <v>6157</v>
      </c>
      <c r="C300" s="261" t="s">
        <v>6209</v>
      </c>
      <c r="D300" s="264" t="s">
        <v>6210</v>
      </c>
      <c r="E300" s="265" t="s">
        <v>5701</v>
      </c>
      <c r="F300" s="268" t="s">
        <v>6175</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6156</v>
      </c>
      <c r="B301" s="260" t="s">
        <v>6157</v>
      </c>
      <c r="C301" s="261" t="s">
        <v>6211</v>
      </c>
      <c r="D301" s="264" t="s">
        <v>6212</v>
      </c>
      <c r="E301" s="265" t="s">
        <v>5749</v>
      </c>
      <c r="F301" s="268" t="s">
        <v>6175</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6156</v>
      </c>
      <c r="B302" s="260" t="s">
        <v>6157</v>
      </c>
      <c r="C302" s="261" t="s">
        <v>6213</v>
      </c>
      <c r="D302" s="264" t="s">
        <v>6214</v>
      </c>
      <c r="E302" s="265" t="s">
        <v>5749</v>
      </c>
      <c r="F302" s="268" t="s">
        <v>6175</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6156</v>
      </c>
      <c r="B303" s="259" t="s">
        <v>1971</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6156</v>
      </c>
      <c r="B304" s="260" t="s">
        <v>1971</v>
      </c>
      <c r="C304" s="261" t="s">
        <v>6215</v>
      </c>
      <c r="D304" s="264" t="s">
        <v>6216</v>
      </c>
      <c r="E304" s="265" t="s">
        <v>5605</v>
      </c>
      <c r="F304" s="268" t="s">
        <v>6217</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6156</v>
      </c>
      <c r="B305" s="260" t="s">
        <v>1971</v>
      </c>
      <c r="C305" s="261" t="s">
        <v>6218</v>
      </c>
      <c r="D305" s="264" t="s">
        <v>6219</v>
      </c>
      <c r="E305" s="265" t="s">
        <v>5605</v>
      </c>
      <c r="F305" s="268" t="s">
        <v>6217</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6156</v>
      </c>
      <c r="B306" s="260" t="s">
        <v>1971</v>
      </c>
      <c r="C306" s="261" t="s">
        <v>6220</v>
      </c>
      <c r="D306" s="264" t="s">
        <v>6221</v>
      </c>
      <c r="E306" s="265" t="s">
        <v>5605</v>
      </c>
      <c r="F306" s="268" t="s">
        <v>6217</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6156</v>
      </c>
      <c r="B307" s="260" t="s">
        <v>1971</v>
      </c>
      <c r="C307" s="261" t="s">
        <v>6222</v>
      </c>
      <c r="D307" s="264" t="s">
        <v>6223</v>
      </c>
      <c r="E307" s="265" t="s">
        <v>5605</v>
      </c>
      <c r="F307" s="268" t="s">
        <v>6217</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6156</v>
      </c>
      <c r="B308" s="260" t="s">
        <v>1971</v>
      </c>
      <c r="C308" s="261" t="s">
        <v>6224</v>
      </c>
      <c r="D308" s="264" t="s">
        <v>6225</v>
      </c>
      <c r="E308" s="265" t="s">
        <v>5701</v>
      </c>
      <c r="F308" s="268" t="s">
        <v>6217</v>
      </c>
      <c r="G308" s="271">
        <f>IF(COUNTIF(H308:AU308,"&lt;&gt;")=0,"",SUMPRODUCT(((Recommendations[ImplStatus]="Implemented")+(Recommendations[ImplStatus]="Compensated"))*ISNUMBER(MATCH(Recommendations[Id],H308:AU308,0)))/COUNTIF(H308:AU308,"&lt;&gt;"))</f>
        <v>0</v>
      </c>
      <c r="H308" s="272" t="s">
        <v>510</v>
      </c>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6156</v>
      </c>
      <c r="B309" s="260" t="s">
        <v>1971</v>
      </c>
      <c r="C309" s="261" t="s">
        <v>6226</v>
      </c>
      <c r="D309" s="264" t="s">
        <v>6227</v>
      </c>
      <c r="E309" s="265" t="s">
        <v>5701</v>
      </c>
      <c r="F309" s="268" t="s">
        <v>6217</v>
      </c>
      <c r="G309" s="271">
        <f>IF(COUNTIF(H309:AU309,"&lt;&gt;")=0,"",SUMPRODUCT(((Recommendations[ImplStatus]="Implemented")+(Recommendations[ImplStatus]="Compensated"))*ISNUMBER(MATCH(Recommendations[Id],H309:AU309,0)))/COUNTIF(H309:AU309,"&lt;&gt;"))</f>
        <v>0</v>
      </c>
      <c r="H309" s="272" t="s">
        <v>84</v>
      </c>
      <c r="I309" s="272" t="s">
        <v>348</v>
      </c>
      <c r="J309" s="272" t="s">
        <v>495</v>
      </c>
      <c r="K309" s="272" t="s">
        <v>520</v>
      </c>
      <c r="L309" s="272" t="s">
        <v>525</v>
      </c>
      <c r="M309" s="272" t="s">
        <v>644</v>
      </c>
      <c r="N309" s="272" t="s">
        <v>649</v>
      </c>
      <c r="O309" s="272" t="s">
        <v>674</v>
      </c>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6156</v>
      </c>
      <c r="B310" s="260" t="s">
        <v>1971</v>
      </c>
      <c r="C310" s="261" t="s">
        <v>6228</v>
      </c>
      <c r="D310" s="264" t="s">
        <v>6229</v>
      </c>
      <c r="E310" s="265" t="s">
        <v>5701</v>
      </c>
      <c r="F310" s="268" t="s">
        <v>6217</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6156</v>
      </c>
      <c r="B311" s="260" t="s">
        <v>1971</v>
      </c>
      <c r="C311" s="261" t="s">
        <v>6230</v>
      </c>
      <c r="D311" s="264" t="s">
        <v>6231</v>
      </c>
      <c r="E311" s="265" t="s">
        <v>5701</v>
      </c>
      <c r="F311" s="268" t="s">
        <v>6217</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6156</v>
      </c>
      <c r="B312" s="260" t="s">
        <v>1971</v>
      </c>
      <c r="C312" s="261" t="s">
        <v>6232</v>
      </c>
      <c r="D312" s="264" t="s">
        <v>6233</v>
      </c>
      <c r="E312" s="265" t="s">
        <v>5701</v>
      </c>
      <c r="F312" s="268" t="s">
        <v>6217</v>
      </c>
      <c r="G312" s="271">
        <f>IF(COUNTIF(H312:AU312,"&lt;&gt;")=0,"",SUMPRODUCT(((Recommendations[ImplStatus]="Implemented")+(Recommendations[ImplStatus]="Compensated"))*ISNUMBER(MATCH(Recommendations[Id],H312:AU312,0)))/COUNTIF(H312:AU312,"&lt;&gt;"))</f>
        <v>0</v>
      </c>
      <c r="H312" s="272" t="s">
        <v>208</v>
      </c>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6156</v>
      </c>
      <c r="B313" s="260" t="s">
        <v>1971</v>
      </c>
      <c r="C313" s="261" t="s">
        <v>6234</v>
      </c>
      <c r="D313" s="264" t="s">
        <v>6235</v>
      </c>
      <c r="E313" s="265" t="s">
        <v>5634</v>
      </c>
      <c r="F313" s="268" t="s">
        <v>6217</v>
      </c>
      <c r="G313" s="271">
        <f>IF(COUNTIF(H313:AU313,"&lt;&gt;")=0,"",SUMPRODUCT(((Recommendations[ImplStatus]="Implemented")+(Recommendations[ImplStatus]="Compensated"))*ISNUMBER(MATCH(Recommendations[Id],H313:AU313,0)))/COUNTIF(H313:AU313,"&lt;&gt;"))</f>
        <v>0</v>
      </c>
      <c r="H313" s="272" t="s">
        <v>418</v>
      </c>
      <c r="I313" s="272" t="s">
        <v>530</v>
      </c>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6156</v>
      </c>
      <c r="B314" s="260" t="s">
        <v>1971</v>
      </c>
      <c r="C314" s="261" t="s">
        <v>6236</v>
      </c>
      <c r="D314" s="264" t="s">
        <v>6237</v>
      </c>
      <c r="E314" s="265" t="s">
        <v>5634</v>
      </c>
      <c r="F314" s="268" t="s">
        <v>6217</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6156</v>
      </c>
      <c r="B315" s="260" t="s">
        <v>1971</v>
      </c>
      <c r="C315" s="261" t="s">
        <v>6238</v>
      </c>
      <c r="D315" s="264" t="s">
        <v>6239</v>
      </c>
      <c r="E315" s="265" t="s">
        <v>5634</v>
      </c>
      <c r="F315" s="268" t="s">
        <v>6217</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6156</v>
      </c>
      <c r="B316" s="260" t="s">
        <v>1971</v>
      </c>
      <c r="C316" s="261" t="s">
        <v>6240</v>
      </c>
      <c r="D316" s="264" t="s">
        <v>6241</v>
      </c>
      <c r="E316" s="265" t="s">
        <v>5634</v>
      </c>
      <c r="F316" s="268" t="s">
        <v>6217</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6156</v>
      </c>
      <c r="B317" s="260" t="s">
        <v>1971</v>
      </c>
      <c r="C317" s="261" t="s">
        <v>6242</v>
      </c>
      <c r="D317" s="264" t="s">
        <v>6243</v>
      </c>
      <c r="E317" s="265" t="s">
        <v>5701</v>
      </c>
      <c r="F317" s="268" t="s">
        <v>6175</v>
      </c>
      <c r="G317" s="271">
        <f>IF(COUNTIF(H317:AU317,"&lt;&gt;")=0,"",SUMPRODUCT(((Recommendations[ImplStatus]="Implemented")+(Recommendations[ImplStatus]="Compensated"))*ISNUMBER(MATCH(Recommendations[Id],H317:AU317,0)))/COUNTIF(H317:AU317,"&lt;&gt;"))</f>
        <v>0</v>
      </c>
      <c r="H317" s="272" t="s">
        <v>213</v>
      </c>
      <c r="I317" s="272" t="s">
        <v>624</v>
      </c>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6156</v>
      </c>
      <c r="B318" s="260" t="s">
        <v>1971</v>
      </c>
      <c r="C318" s="261" t="s">
        <v>6244</v>
      </c>
      <c r="D318" s="264" t="s">
        <v>6245</v>
      </c>
      <c r="E318" s="265" t="s">
        <v>5749</v>
      </c>
      <c r="F318" s="268" t="s">
        <v>6175</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6156</v>
      </c>
      <c r="B319" s="260" t="s">
        <v>1971</v>
      </c>
      <c r="C319" s="261" t="s">
        <v>6246</v>
      </c>
      <c r="D319" s="264" t="s">
        <v>6247</v>
      </c>
      <c r="E319" s="265" t="s">
        <v>5749</v>
      </c>
      <c r="F319" s="268" t="s">
        <v>6175</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6156</v>
      </c>
      <c r="B320" s="259" t="s">
        <v>6248</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6156</v>
      </c>
      <c r="B321" s="260" t="s">
        <v>6248</v>
      </c>
      <c r="C321" s="261" t="s">
        <v>6249</v>
      </c>
      <c r="D321" s="264" t="s">
        <v>6250</v>
      </c>
      <c r="E321" s="265" t="s">
        <v>5634</v>
      </c>
      <c r="F321" s="268" t="s">
        <v>6251</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6156</v>
      </c>
      <c r="B322" s="260" t="s">
        <v>6248</v>
      </c>
      <c r="C322" s="261" t="s">
        <v>6252</v>
      </c>
      <c r="D322" s="264" t="s">
        <v>6253</v>
      </c>
      <c r="E322" s="265" t="s">
        <v>5634</v>
      </c>
      <c r="F322" s="268" t="s">
        <v>6251</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6156</v>
      </c>
      <c r="B323" s="260" t="s">
        <v>6248</v>
      </c>
      <c r="C323" s="261" t="s">
        <v>6254</v>
      </c>
      <c r="D323" s="264" t="s">
        <v>6255</v>
      </c>
      <c r="E323" s="265" t="s">
        <v>5634</v>
      </c>
      <c r="F323" s="268" t="s">
        <v>6251</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6156</v>
      </c>
      <c r="B324" s="260" t="s">
        <v>6248</v>
      </c>
      <c r="C324" s="261" t="s">
        <v>6256</v>
      </c>
      <c r="D324" s="264" t="s">
        <v>6257</v>
      </c>
      <c r="E324" s="265" t="s">
        <v>5634</v>
      </c>
      <c r="F324" s="268" t="s">
        <v>6251</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6156</v>
      </c>
      <c r="B325" s="260" t="s">
        <v>6248</v>
      </c>
      <c r="C325" s="261" t="s">
        <v>6258</v>
      </c>
      <c r="D325" s="264" t="s">
        <v>6259</v>
      </c>
      <c r="E325" s="265" t="s">
        <v>5634</v>
      </c>
      <c r="F325" s="268" t="s">
        <v>6251</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6156</v>
      </c>
      <c r="B326" s="260" t="s">
        <v>6248</v>
      </c>
      <c r="C326" s="261" t="s">
        <v>6260</v>
      </c>
      <c r="D326" s="264" t="s">
        <v>6261</v>
      </c>
      <c r="E326" s="265" t="s">
        <v>5634</v>
      </c>
      <c r="F326" s="268" t="s">
        <v>6251</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6156</v>
      </c>
      <c r="B327" s="260" t="s">
        <v>6248</v>
      </c>
      <c r="C327" s="261" t="s">
        <v>6262</v>
      </c>
      <c r="D327" s="264" t="s">
        <v>6263</v>
      </c>
      <c r="E327" s="265" t="s">
        <v>5634</v>
      </c>
      <c r="F327" s="268" t="s">
        <v>6251</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6156</v>
      </c>
      <c r="B328" s="260" t="s">
        <v>6248</v>
      </c>
      <c r="C328" s="261" t="s">
        <v>6264</v>
      </c>
      <c r="D328" s="264" t="s">
        <v>6265</v>
      </c>
      <c r="E328" s="265" t="s">
        <v>5634</v>
      </c>
      <c r="F328" s="268" t="s">
        <v>6251</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6156</v>
      </c>
      <c r="B329" s="260" t="s">
        <v>6248</v>
      </c>
      <c r="C329" s="261" t="s">
        <v>6266</v>
      </c>
      <c r="D329" s="264" t="s">
        <v>6267</v>
      </c>
      <c r="E329" s="265" t="s">
        <v>5634</v>
      </c>
      <c r="F329" s="268" t="s">
        <v>6251</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6156</v>
      </c>
      <c r="B330" s="260" t="s">
        <v>6248</v>
      </c>
      <c r="C330" s="261" t="s">
        <v>6268</v>
      </c>
      <c r="D330" s="264" t="s">
        <v>6269</v>
      </c>
      <c r="E330" s="265" t="s">
        <v>5634</v>
      </c>
      <c r="F330" s="268" t="s">
        <v>6251</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6156</v>
      </c>
      <c r="B331" s="260" t="s">
        <v>6248</v>
      </c>
      <c r="C331" s="261" t="s">
        <v>6270</v>
      </c>
      <c r="D331" s="264" t="s">
        <v>6271</v>
      </c>
      <c r="E331" s="265" t="s">
        <v>5634</v>
      </c>
      <c r="F331" s="268" t="s">
        <v>6251</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6156</v>
      </c>
      <c r="B332" s="260" t="s">
        <v>6248</v>
      </c>
      <c r="C332" s="261" t="s">
        <v>6272</v>
      </c>
      <c r="D332" s="264" t="s">
        <v>6273</v>
      </c>
      <c r="E332" s="265" t="s">
        <v>5634</v>
      </c>
      <c r="F332" s="268" t="s">
        <v>6251</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6156</v>
      </c>
      <c r="B333" s="260" t="s">
        <v>6248</v>
      </c>
      <c r="C333" s="261" t="s">
        <v>6274</v>
      </c>
      <c r="D333" s="264" t="s">
        <v>6275</v>
      </c>
      <c r="E333" s="265" t="s">
        <v>5634</v>
      </c>
      <c r="F333" s="268" t="s">
        <v>6251</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6156</v>
      </c>
      <c r="B334" s="260" t="s">
        <v>6248</v>
      </c>
      <c r="C334" s="261" t="s">
        <v>6276</v>
      </c>
      <c r="D334" s="264" t="s">
        <v>6277</v>
      </c>
      <c r="E334" s="265" t="s">
        <v>5634</v>
      </c>
      <c r="F334" s="268" t="s">
        <v>6251</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6156</v>
      </c>
      <c r="B335" s="260" t="s">
        <v>6248</v>
      </c>
      <c r="C335" s="261" t="s">
        <v>6278</v>
      </c>
      <c r="D335" s="264" t="s">
        <v>6279</v>
      </c>
      <c r="E335" s="265" t="s">
        <v>5634</v>
      </c>
      <c r="F335" s="268" t="s">
        <v>6251</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6156</v>
      </c>
      <c r="B336" s="260" t="s">
        <v>6248</v>
      </c>
      <c r="C336" s="261" t="s">
        <v>6280</v>
      </c>
      <c r="D336" s="264" t="s">
        <v>6281</v>
      </c>
      <c r="E336" s="265" t="s">
        <v>5749</v>
      </c>
      <c r="F336" s="268" t="s">
        <v>6251</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6156</v>
      </c>
      <c r="B337" s="260" t="s">
        <v>6248</v>
      </c>
      <c r="C337" s="261" t="s">
        <v>6282</v>
      </c>
      <c r="D337" s="264" t="s">
        <v>6283</v>
      </c>
      <c r="E337" s="265" t="s">
        <v>5749</v>
      </c>
      <c r="F337" s="268" t="s">
        <v>6251</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6156</v>
      </c>
      <c r="B338" s="260" t="s">
        <v>6248</v>
      </c>
      <c r="C338" s="261" t="s">
        <v>6284</v>
      </c>
      <c r="D338" s="264" t="s">
        <v>6285</v>
      </c>
      <c r="E338" s="265" t="s">
        <v>5634</v>
      </c>
      <c r="F338" s="268" t="s">
        <v>6251</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6156</v>
      </c>
      <c r="B339" s="260" t="s">
        <v>6248</v>
      </c>
      <c r="C339" s="261" t="s">
        <v>6286</v>
      </c>
      <c r="D339" s="264" t="s">
        <v>6287</v>
      </c>
      <c r="E339" s="265" t="s">
        <v>5634</v>
      </c>
      <c r="F339" s="268" t="s">
        <v>6251</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6156</v>
      </c>
      <c r="B340" s="259" t="s">
        <v>6288</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6156</v>
      </c>
      <c r="B341" s="260" t="s">
        <v>6288</v>
      </c>
      <c r="C341" s="261" t="s">
        <v>6289</v>
      </c>
      <c r="D341" s="264" t="s">
        <v>6290</v>
      </c>
      <c r="E341" s="265" t="s">
        <v>5605</v>
      </c>
      <c r="F341" s="268" t="s">
        <v>6175</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6156</v>
      </c>
      <c r="B342" s="260" t="s">
        <v>6288</v>
      </c>
      <c r="C342" s="261" t="s">
        <v>6291</v>
      </c>
      <c r="D342" s="264" t="s">
        <v>6292</v>
      </c>
      <c r="E342" s="265" t="s">
        <v>5605</v>
      </c>
      <c r="F342" s="268" t="s">
        <v>6175</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6156</v>
      </c>
      <c r="B343" s="260" t="s">
        <v>6288</v>
      </c>
      <c r="C343" s="261" t="s">
        <v>6293</v>
      </c>
      <c r="D343" s="264" t="s">
        <v>6294</v>
      </c>
      <c r="E343" s="265" t="s">
        <v>5701</v>
      </c>
      <c r="F343" s="268" t="s">
        <v>6295</v>
      </c>
      <c r="G343" s="271">
        <f>IF(COUNTIF(H343:AU343,"&lt;&gt;")=0,"",SUMPRODUCT(((Recommendations[ImplStatus]="Implemented")+(Recommendations[ImplStatus]="Compensated"))*ISNUMBER(MATCH(Recommendations[Id],H343:AU343,0)))/COUNTIF(H343:AU343,"&lt;&gt;"))</f>
        <v>0</v>
      </c>
      <c r="H343" s="272" t="s">
        <v>25</v>
      </c>
      <c r="I343" s="272" t="s">
        <v>31</v>
      </c>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6156</v>
      </c>
      <c r="B344" s="260" t="s">
        <v>6288</v>
      </c>
      <c r="C344" s="261" t="s">
        <v>6296</v>
      </c>
      <c r="D344" s="264" t="s">
        <v>6297</v>
      </c>
      <c r="E344" s="265" t="s">
        <v>5634</v>
      </c>
      <c r="F344" s="268" t="s">
        <v>6295</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6156</v>
      </c>
      <c r="B345" s="260" t="s">
        <v>6288</v>
      </c>
      <c r="C345" s="261" t="s">
        <v>6298</v>
      </c>
      <c r="D345" s="264" t="s">
        <v>6299</v>
      </c>
      <c r="E345" s="265" t="s">
        <v>5634</v>
      </c>
      <c r="F345" s="268" t="s">
        <v>6295</v>
      </c>
      <c r="G345" s="271">
        <f>IF(COUNTIF(H345:AU345,"&lt;&gt;")=0,"",SUMPRODUCT(((Recommendations[ImplStatus]="Implemented")+(Recommendations[ImplStatus]="Compensated"))*ISNUMBER(MATCH(Recommendations[Id],H345:AU345,0)))/COUNTIF(H345:AU345,"&lt;&gt;"))</f>
        <v>0</v>
      </c>
      <c r="H345" s="272" t="s">
        <v>14</v>
      </c>
      <c r="I345" s="272" t="s">
        <v>398</v>
      </c>
      <c r="J345" s="272" t="s">
        <v>590</v>
      </c>
      <c r="K345" s="272" t="s">
        <v>613</v>
      </c>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6156</v>
      </c>
      <c r="B346" s="260" t="s">
        <v>6288</v>
      </c>
      <c r="C346" s="261" t="s">
        <v>6300</v>
      </c>
      <c r="D346" s="264" t="s">
        <v>6301</v>
      </c>
      <c r="E346" s="265" t="s">
        <v>5634</v>
      </c>
      <c r="F346" s="268" t="s">
        <v>6295</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6156</v>
      </c>
      <c r="B347" s="260" t="s">
        <v>6288</v>
      </c>
      <c r="C347" s="261" t="s">
        <v>6302</v>
      </c>
      <c r="D347" s="264" t="s">
        <v>6303</v>
      </c>
      <c r="E347" s="265" t="s">
        <v>5634</v>
      </c>
      <c r="F347" s="268" t="s">
        <v>6295</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6156</v>
      </c>
      <c r="B348" s="260" t="s">
        <v>6288</v>
      </c>
      <c r="C348" s="261" t="s">
        <v>6304</v>
      </c>
      <c r="D348" s="264" t="s">
        <v>6305</v>
      </c>
      <c r="E348" s="265" t="s">
        <v>5634</v>
      </c>
      <c r="F348" s="268" t="s">
        <v>6295</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6156</v>
      </c>
      <c r="B349" s="260" t="s">
        <v>6288</v>
      </c>
      <c r="C349" s="261" t="s">
        <v>6306</v>
      </c>
      <c r="D349" s="264" t="s">
        <v>6307</v>
      </c>
      <c r="E349" s="265" t="s">
        <v>5634</v>
      </c>
      <c r="F349" s="268" t="s">
        <v>6295</v>
      </c>
      <c r="G349" s="271">
        <f>IF(COUNTIF(H349:AU349,"&lt;&gt;")=0,"",SUMPRODUCT(((Recommendations[ImplStatus]="Implemented")+(Recommendations[ImplStatus]="Compensated"))*ISNUMBER(MATCH(Recommendations[Id],H349:AU349,0)))/COUNTIF(H349:AU349,"&lt;&gt;"))</f>
        <v>0</v>
      </c>
      <c r="H349" s="272" t="s">
        <v>63</v>
      </c>
      <c r="I349" s="272" t="s">
        <v>99</v>
      </c>
      <c r="J349" s="272" t="s">
        <v>614</v>
      </c>
      <c r="K349" s="272" t="s">
        <v>669</v>
      </c>
      <c r="L349" s="272" t="s">
        <v>855</v>
      </c>
      <c r="M349" s="272" t="s">
        <v>860</v>
      </c>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6156</v>
      </c>
      <c r="B350" s="260" t="s">
        <v>6288</v>
      </c>
      <c r="C350" s="261" t="s">
        <v>6308</v>
      </c>
      <c r="D350" s="264" t="s">
        <v>6309</v>
      </c>
      <c r="E350" s="265" t="s">
        <v>5605</v>
      </c>
      <c r="F350" s="268" t="s">
        <v>6295</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6156</v>
      </c>
      <c r="B351" s="260" t="s">
        <v>6288</v>
      </c>
      <c r="C351" s="261" t="s">
        <v>6310</v>
      </c>
      <c r="D351" s="264" t="s">
        <v>6311</v>
      </c>
      <c r="E351" s="265" t="s">
        <v>5605</v>
      </c>
      <c r="F351" s="268" t="s">
        <v>6295</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6156</v>
      </c>
      <c r="B352" s="260" t="s">
        <v>6288</v>
      </c>
      <c r="C352" s="261" t="s">
        <v>6312</v>
      </c>
      <c r="D352" s="264" t="s">
        <v>6313</v>
      </c>
      <c r="E352" s="265" t="s">
        <v>5605</v>
      </c>
      <c r="F352" s="268" t="s">
        <v>6295</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6156</v>
      </c>
      <c r="B353" s="260" t="s">
        <v>6288</v>
      </c>
      <c r="C353" s="261" t="s">
        <v>6314</v>
      </c>
      <c r="D353" s="264" t="s">
        <v>6315</v>
      </c>
      <c r="E353" s="265" t="s">
        <v>5701</v>
      </c>
      <c r="F353" s="268" t="s">
        <v>6175</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6156</v>
      </c>
      <c r="B354" s="259" t="s">
        <v>6316</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6156</v>
      </c>
      <c r="B355" s="260" t="s">
        <v>6316</v>
      </c>
      <c r="C355" s="261" t="s">
        <v>6317</v>
      </c>
      <c r="D355" s="264" t="s">
        <v>6318</v>
      </c>
      <c r="E355" s="265" t="s">
        <v>5701</v>
      </c>
      <c r="F355" s="268" t="s">
        <v>6319</v>
      </c>
      <c r="G355" s="271">
        <f>IF(COUNTIF(H355:AU355,"&lt;&gt;")=0,"",SUMPRODUCT(((Recommendations[ImplStatus]="Implemented")+(Recommendations[ImplStatus]="Compensated"))*ISNUMBER(MATCH(Recommendations[Id],H355:AU355,0)))/COUNTIF(H355:AU355,"&lt;&gt;"))</f>
        <v>0</v>
      </c>
      <c r="H355" s="272" t="s">
        <v>243</v>
      </c>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6156</v>
      </c>
      <c r="B356" s="260" t="s">
        <v>6316</v>
      </c>
      <c r="C356" s="261" t="s">
        <v>6320</v>
      </c>
      <c r="D356" s="264" t="s">
        <v>6321</v>
      </c>
      <c r="E356" s="265" t="s">
        <v>5701</v>
      </c>
      <c r="F356" s="268" t="s">
        <v>6319</v>
      </c>
      <c r="G356" s="271">
        <f>IF(COUNTIF(H356:AU356,"&lt;&gt;")=0,"",SUMPRODUCT(((Recommendations[ImplStatus]="Implemented")+(Recommendations[ImplStatus]="Compensated"))*ISNUMBER(MATCH(Recommendations[Id],H356:AU356,0)))/COUNTIF(H356:AU356,"&lt;&gt;"))</f>
        <v>0</v>
      </c>
      <c r="H356" s="272" t="s">
        <v>36</v>
      </c>
      <c r="I356" s="272" t="s">
        <v>164</v>
      </c>
      <c r="J356" s="272" t="s">
        <v>238</v>
      </c>
      <c r="K356" s="272" t="s">
        <v>540</v>
      </c>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6156</v>
      </c>
      <c r="B357" s="260" t="s">
        <v>6316</v>
      </c>
      <c r="C357" s="261" t="s">
        <v>6322</v>
      </c>
      <c r="D357" s="264" t="s">
        <v>6323</v>
      </c>
      <c r="E357" s="265" t="s">
        <v>5749</v>
      </c>
      <c r="F357" s="268" t="s">
        <v>6319</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6156</v>
      </c>
      <c r="B358" s="260" t="s">
        <v>6316</v>
      </c>
      <c r="C358" s="261" t="s">
        <v>6324</v>
      </c>
      <c r="D358" s="264" t="s">
        <v>6325</v>
      </c>
      <c r="E358" s="265" t="s">
        <v>5749</v>
      </c>
      <c r="F358" s="268" t="s">
        <v>6319</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6156</v>
      </c>
      <c r="B359" s="260" t="s">
        <v>6316</v>
      </c>
      <c r="C359" s="261" t="s">
        <v>6326</v>
      </c>
      <c r="D359" s="264" t="s">
        <v>6327</v>
      </c>
      <c r="E359" s="265" t="s">
        <v>5749</v>
      </c>
      <c r="F359" s="268" t="s">
        <v>6319</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6156</v>
      </c>
      <c r="B360" s="260" t="s">
        <v>6316</v>
      </c>
      <c r="C360" s="261" t="s">
        <v>6328</v>
      </c>
      <c r="D360" s="264" t="s">
        <v>6329</v>
      </c>
      <c r="E360" s="265" t="s">
        <v>5701</v>
      </c>
      <c r="F360" s="268" t="s">
        <v>6319</v>
      </c>
      <c r="G360" s="271">
        <f>IF(COUNTIF(H360:AU360,"&lt;&gt;")=0,"",SUMPRODUCT(((Recommendations[ImplStatus]="Implemented")+(Recommendations[ImplStatus]="Compensated"))*ISNUMBER(MATCH(Recommendations[Id],H360:AU360,0)))/COUNTIF(H360:AU360,"&lt;&gt;"))</f>
        <v>0</v>
      </c>
      <c r="H360" s="272" t="s">
        <v>36</v>
      </c>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6156</v>
      </c>
      <c r="B361" s="260" t="s">
        <v>6316</v>
      </c>
      <c r="C361" s="261" t="s">
        <v>6330</v>
      </c>
      <c r="D361" s="264" t="s">
        <v>6331</v>
      </c>
      <c r="E361" s="265" t="s">
        <v>5634</v>
      </c>
      <c r="F361" s="268" t="s">
        <v>6319</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6156</v>
      </c>
      <c r="B362" s="260" t="s">
        <v>6316</v>
      </c>
      <c r="C362" s="261" t="s">
        <v>6332</v>
      </c>
      <c r="D362" s="264" t="s">
        <v>6333</v>
      </c>
      <c r="E362" s="265" t="s">
        <v>5749</v>
      </c>
      <c r="F362" s="268" t="s">
        <v>6319</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6156</v>
      </c>
      <c r="B363" s="260" t="s">
        <v>6316</v>
      </c>
      <c r="C363" s="261" t="s">
        <v>6334</v>
      </c>
      <c r="D363" s="264" t="s">
        <v>6335</v>
      </c>
      <c r="E363" s="265" t="s">
        <v>5749</v>
      </c>
      <c r="F363" s="268" t="s">
        <v>6319</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6156</v>
      </c>
      <c r="B364" s="260" t="s">
        <v>6316</v>
      </c>
      <c r="C364" s="261" t="s">
        <v>6336</v>
      </c>
      <c r="D364" s="264" t="s">
        <v>6337</v>
      </c>
      <c r="E364" s="265" t="s">
        <v>5749</v>
      </c>
      <c r="F364" s="268" t="s">
        <v>6319</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6156</v>
      </c>
      <c r="B365" s="260" t="s">
        <v>6316</v>
      </c>
      <c r="C365" s="261" t="s">
        <v>6338</v>
      </c>
      <c r="D365" s="264" t="s">
        <v>6339</v>
      </c>
      <c r="E365" s="265" t="s">
        <v>5749</v>
      </c>
      <c r="F365" s="268" t="s">
        <v>6319</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6156</v>
      </c>
      <c r="B366" s="260" t="s">
        <v>6316</v>
      </c>
      <c r="C366" s="261" t="s">
        <v>6340</v>
      </c>
      <c r="D366" s="264" t="s">
        <v>6341</v>
      </c>
      <c r="E366" s="265" t="s">
        <v>5749</v>
      </c>
      <c r="F366" s="268" t="s">
        <v>6319</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6156</v>
      </c>
      <c r="B367" s="260" t="s">
        <v>6316</v>
      </c>
      <c r="C367" s="261" t="s">
        <v>6342</v>
      </c>
      <c r="D367" s="264" t="s">
        <v>6343</v>
      </c>
      <c r="E367" s="265" t="s">
        <v>5749</v>
      </c>
      <c r="F367" s="268" t="s">
        <v>6319</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6156</v>
      </c>
      <c r="B368" s="260" t="s">
        <v>6316</v>
      </c>
      <c r="C368" s="261" t="s">
        <v>6344</v>
      </c>
      <c r="D368" s="264" t="s">
        <v>6345</v>
      </c>
      <c r="E368" s="265" t="s">
        <v>5749</v>
      </c>
      <c r="F368" s="268" t="s">
        <v>6319</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6156</v>
      </c>
      <c r="B369" s="260" t="s">
        <v>6316</v>
      </c>
      <c r="C369" s="261" t="s">
        <v>6346</v>
      </c>
      <c r="D369" s="264" t="s">
        <v>6347</v>
      </c>
      <c r="E369" s="265" t="s">
        <v>5749</v>
      </c>
      <c r="F369" s="268" t="s">
        <v>6319</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6348</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6348</v>
      </c>
      <c r="B371" s="259" t="s">
        <v>6349</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6348</v>
      </c>
      <c r="B372" s="260" t="s">
        <v>6349</v>
      </c>
      <c r="C372" s="261" t="s">
        <v>6350</v>
      </c>
      <c r="D372" s="264" t="s">
        <v>6351</v>
      </c>
      <c r="E372" s="265" t="s">
        <v>5605</v>
      </c>
      <c r="F372" s="268" t="s">
        <v>6352</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6348</v>
      </c>
      <c r="B373" s="260" t="s">
        <v>6349</v>
      </c>
      <c r="C373" s="261" t="s">
        <v>6353</v>
      </c>
      <c r="D373" s="264" t="s">
        <v>6354</v>
      </c>
      <c r="E373" s="265" t="s">
        <v>5605</v>
      </c>
      <c r="F373" s="268" t="s">
        <v>6355</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6348</v>
      </c>
      <c r="B374" s="260" t="s">
        <v>6349</v>
      </c>
      <c r="C374" s="261" t="s">
        <v>6356</v>
      </c>
      <c r="D374" s="264" t="s">
        <v>6357</v>
      </c>
      <c r="E374" s="265" t="s">
        <v>5634</v>
      </c>
      <c r="F374" s="268" t="s">
        <v>6355</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6348</v>
      </c>
      <c r="B375" s="260" t="s">
        <v>6349</v>
      </c>
      <c r="C375" s="261" t="s">
        <v>6358</v>
      </c>
      <c r="D375" s="264" t="s">
        <v>6359</v>
      </c>
      <c r="E375" s="265" t="s">
        <v>5634</v>
      </c>
      <c r="F375" s="268" t="s">
        <v>6355</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6348</v>
      </c>
      <c r="B376" s="260" t="s">
        <v>6349</v>
      </c>
      <c r="C376" s="261" t="s">
        <v>6360</v>
      </c>
      <c r="D376" s="264" t="s">
        <v>6361</v>
      </c>
      <c r="E376" s="265" t="s">
        <v>5634</v>
      </c>
      <c r="F376" s="268" t="s">
        <v>6217</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6348</v>
      </c>
      <c r="B377" s="260" t="s">
        <v>6349</v>
      </c>
      <c r="C377" s="261" t="s">
        <v>6362</v>
      </c>
      <c r="D377" s="264" t="s">
        <v>6363</v>
      </c>
      <c r="E377" s="265" t="s">
        <v>5701</v>
      </c>
      <c r="F377" s="268" t="s">
        <v>6175</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6348</v>
      </c>
      <c r="B378" s="260" t="s">
        <v>6349</v>
      </c>
      <c r="C378" s="261" t="s">
        <v>6364</v>
      </c>
      <c r="D378" s="264" t="s">
        <v>6365</v>
      </c>
      <c r="E378" s="265" t="s">
        <v>5701</v>
      </c>
      <c r="F378" s="268" t="s">
        <v>6355</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6348</v>
      </c>
      <c r="B379" s="260" t="s">
        <v>6349</v>
      </c>
      <c r="C379" s="261" t="s">
        <v>6366</v>
      </c>
      <c r="D379" s="264" t="s">
        <v>6367</v>
      </c>
      <c r="E379" s="265" t="s">
        <v>5701</v>
      </c>
      <c r="F379" s="268" t="s">
        <v>6352</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6348</v>
      </c>
      <c r="B380" s="260" t="s">
        <v>6349</v>
      </c>
      <c r="C380" s="261" t="s">
        <v>6368</v>
      </c>
      <c r="D380" s="264" t="s">
        <v>6369</v>
      </c>
      <c r="E380" s="265" t="s">
        <v>5701</v>
      </c>
      <c r="F380" s="268" t="s">
        <v>6352</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6348</v>
      </c>
      <c r="B381" s="260" t="s">
        <v>6349</v>
      </c>
      <c r="C381" s="261" t="s">
        <v>6370</v>
      </c>
      <c r="D381" s="264" t="s">
        <v>6371</v>
      </c>
      <c r="E381" s="265" t="s">
        <v>5701</v>
      </c>
      <c r="F381" s="268" t="s">
        <v>6352</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6348</v>
      </c>
      <c r="B382" s="260" t="s">
        <v>6349</v>
      </c>
      <c r="C382" s="261" t="s">
        <v>6372</v>
      </c>
      <c r="D382" s="264" t="s">
        <v>6373</v>
      </c>
      <c r="E382" s="265" t="s">
        <v>5749</v>
      </c>
      <c r="F382" s="268" t="s">
        <v>6352</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6348</v>
      </c>
      <c r="B383" s="260" t="s">
        <v>6349</v>
      </c>
      <c r="C383" s="261" t="s">
        <v>6374</v>
      </c>
      <c r="D383" s="264" t="s">
        <v>6375</v>
      </c>
      <c r="E383" s="265" t="s">
        <v>5749</v>
      </c>
      <c r="F383" s="268" t="s">
        <v>6352</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6348</v>
      </c>
      <c r="B384" s="260" t="s">
        <v>6349</v>
      </c>
      <c r="C384" s="261" t="s">
        <v>6376</v>
      </c>
      <c r="D384" s="264" t="s">
        <v>6377</v>
      </c>
      <c r="E384" s="265" t="s">
        <v>5749</v>
      </c>
      <c r="F384" s="268" t="s">
        <v>6352</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6348</v>
      </c>
      <c r="B385" s="260" t="s">
        <v>6349</v>
      </c>
      <c r="C385" s="261" t="s">
        <v>6378</v>
      </c>
      <c r="D385" s="264" t="s">
        <v>6379</v>
      </c>
      <c r="E385" s="265" t="s">
        <v>5701</v>
      </c>
      <c r="F385" s="268" t="s">
        <v>6352</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6348</v>
      </c>
      <c r="B386" s="259" t="s">
        <v>6380</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6348</v>
      </c>
      <c r="B387" s="260" t="s">
        <v>6380</v>
      </c>
      <c r="C387" s="261" t="s">
        <v>6381</v>
      </c>
      <c r="D387" s="264" t="s">
        <v>6382</v>
      </c>
      <c r="E387" s="265" t="s">
        <v>5605</v>
      </c>
      <c r="F387" s="268" t="s">
        <v>6383</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6348</v>
      </c>
      <c r="B388" s="260" t="s">
        <v>6380</v>
      </c>
      <c r="C388" s="261" t="s">
        <v>6384</v>
      </c>
      <c r="D388" s="264" t="s">
        <v>6385</v>
      </c>
      <c r="E388" s="265" t="s">
        <v>5605</v>
      </c>
      <c r="F388" s="268" t="s">
        <v>6383</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6348</v>
      </c>
      <c r="B389" s="260" t="s">
        <v>6380</v>
      </c>
      <c r="C389" s="261" t="s">
        <v>6386</v>
      </c>
      <c r="D389" s="264" t="s">
        <v>6387</v>
      </c>
      <c r="E389" s="265" t="s">
        <v>5884</v>
      </c>
      <c r="F389" s="268" t="s">
        <v>6383</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6348</v>
      </c>
      <c r="B390" s="260" t="s">
        <v>6380</v>
      </c>
      <c r="C390" s="261" t="s">
        <v>6388</v>
      </c>
      <c r="D390" s="264" t="s">
        <v>6389</v>
      </c>
      <c r="E390" s="265" t="s">
        <v>5701</v>
      </c>
      <c r="F390" s="268" t="s">
        <v>6383</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6348</v>
      </c>
      <c r="B391" s="260" t="s">
        <v>6380</v>
      </c>
      <c r="C391" s="261" t="s">
        <v>6390</v>
      </c>
      <c r="D391" s="264" t="s">
        <v>6391</v>
      </c>
      <c r="E391" s="265" t="s">
        <v>5884</v>
      </c>
      <c r="F391" s="268" t="s">
        <v>6383</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6348</v>
      </c>
      <c r="B392" s="260" t="s">
        <v>6380</v>
      </c>
      <c r="C392" s="261" t="s">
        <v>6392</v>
      </c>
      <c r="D392" s="264" t="s">
        <v>6393</v>
      </c>
      <c r="E392" s="265" t="s">
        <v>5634</v>
      </c>
      <c r="F392" s="268" t="s">
        <v>6383</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6348</v>
      </c>
      <c r="B393" s="260" t="s">
        <v>6380</v>
      </c>
      <c r="C393" s="261" t="s">
        <v>6394</v>
      </c>
      <c r="D393" s="264" t="s">
        <v>6395</v>
      </c>
      <c r="E393" s="265" t="s">
        <v>5634</v>
      </c>
      <c r="F393" s="268" t="s">
        <v>6383</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6348</v>
      </c>
      <c r="B394" s="260" t="s">
        <v>6380</v>
      </c>
      <c r="C394" s="261" t="s">
        <v>6396</v>
      </c>
      <c r="D394" s="264" t="s">
        <v>6397</v>
      </c>
      <c r="E394" s="265" t="s">
        <v>5884</v>
      </c>
      <c r="F394" s="268" t="s">
        <v>6383</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6348</v>
      </c>
      <c r="B395" s="260" t="s">
        <v>6380</v>
      </c>
      <c r="C395" s="261" t="s">
        <v>6398</v>
      </c>
      <c r="D395" s="264" t="s">
        <v>6399</v>
      </c>
      <c r="E395" s="265" t="s">
        <v>5701</v>
      </c>
      <c r="F395" s="268" t="s">
        <v>6383</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6348</v>
      </c>
      <c r="B396" s="260" t="s">
        <v>6380</v>
      </c>
      <c r="C396" s="261" t="s">
        <v>6400</v>
      </c>
      <c r="D396" s="264" t="s">
        <v>6401</v>
      </c>
      <c r="E396" s="265" t="s">
        <v>5884</v>
      </c>
      <c r="F396" s="268" t="s">
        <v>6383</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6348</v>
      </c>
      <c r="B397" s="260" t="s">
        <v>6380</v>
      </c>
      <c r="C397" s="261" t="s">
        <v>6402</v>
      </c>
      <c r="D397" s="264" t="s">
        <v>6403</v>
      </c>
      <c r="E397" s="265" t="s">
        <v>5634</v>
      </c>
      <c r="F397" s="268" t="s">
        <v>6383</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6348</v>
      </c>
      <c r="B398" s="260" t="s">
        <v>6380</v>
      </c>
      <c r="C398" s="261" t="s">
        <v>6404</v>
      </c>
      <c r="D398" s="264" t="s">
        <v>6405</v>
      </c>
      <c r="E398" s="265" t="s">
        <v>5749</v>
      </c>
      <c r="F398" s="268" t="s">
        <v>6383</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6348</v>
      </c>
      <c r="B399" s="260" t="s">
        <v>6380</v>
      </c>
      <c r="C399" s="261" t="s">
        <v>6406</v>
      </c>
      <c r="D399" s="264" t="s">
        <v>6407</v>
      </c>
      <c r="E399" s="265" t="s">
        <v>5884</v>
      </c>
      <c r="F399" s="268" t="s">
        <v>6383</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6348</v>
      </c>
      <c r="B400" s="260" t="s">
        <v>6380</v>
      </c>
      <c r="C400" s="261" t="s">
        <v>6408</v>
      </c>
      <c r="D400" s="264" t="s">
        <v>6409</v>
      </c>
      <c r="E400" s="265" t="s">
        <v>5884</v>
      </c>
      <c r="F400" s="268" t="s">
        <v>6383</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6348</v>
      </c>
      <c r="B401" s="260" t="s">
        <v>6380</v>
      </c>
      <c r="C401" s="261" t="s">
        <v>6410</v>
      </c>
      <c r="D401" s="264" t="s">
        <v>6411</v>
      </c>
      <c r="E401" s="265" t="s">
        <v>5634</v>
      </c>
      <c r="F401" s="268" t="s">
        <v>6383</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6348</v>
      </c>
      <c r="B402" s="260" t="s">
        <v>6380</v>
      </c>
      <c r="C402" s="261" t="s">
        <v>6412</v>
      </c>
      <c r="D402" s="264" t="s">
        <v>6413</v>
      </c>
      <c r="E402" s="265" t="s">
        <v>5634</v>
      </c>
      <c r="F402" s="268" t="s">
        <v>6383</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6348</v>
      </c>
      <c r="B403" s="260" t="s">
        <v>6380</v>
      </c>
      <c r="C403" s="261" t="s">
        <v>6414</v>
      </c>
      <c r="D403" s="264" t="s">
        <v>6415</v>
      </c>
      <c r="E403" s="265" t="s">
        <v>5634</v>
      </c>
      <c r="F403" s="268" t="s">
        <v>6383</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6348</v>
      </c>
      <c r="B404" s="260" t="s">
        <v>6380</v>
      </c>
      <c r="C404" s="261" t="s">
        <v>6416</v>
      </c>
      <c r="D404" s="264" t="s">
        <v>6417</v>
      </c>
      <c r="E404" s="265" t="s">
        <v>5749</v>
      </c>
      <c r="F404" s="268" t="s">
        <v>6383</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6348</v>
      </c>
      <c r="B405" s="260" t="s">
        <v>6380</v>
      </c>
      <c r="C405" s="261" t="s">
        <v>6418</v>
      </c>
      <c r="D405" s="264" t="s">
        <v>6419</v>
      </c>
      <c r="E405" s="265" t="s">
        <v>5749</v>
      </c>
      <c r="F405" s="268" t="s">
        <v>6383</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6348</v>
      </c>
      <c r="B406" s="260" t="s">
        <v>6380</v>
      </c>
      <c r="C406" s="261" t="s">
        <v>6420</v>
      </c>
      <c r="D406" s="264" t="s">
        <v>6421</v>
      </c>
      <c r="E406" s="265" t="s">
        <v>5749</v>
      </c>
      <c r="F406" s="268" t="s">
        <v>6422</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6348</v>
      </c>
      <c r="B407" s="260" t="s">
        <v>6380</v>
      </c>
      <c r="C407" s="261" t="s">
        <v>6423</v>
      </c>
      <c r="D407" s="264" t="s">
        <v>6424</v>
      </c>
      <c r="E407" s="265" t="s">
        <v>5749</v>
      </c>
      <c r="F407" s="268" t="s">
        <v>6383</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6348</v>
      </c>
      <c r="B408" s="260" t="s">
        <v>6380</v>
      </c>
      <c r="C408" s="261" t="s">
        <v>6425</v>
      </c>
      <c r="D408" s="264" t="s">
        <v>6426</v>
      </c>
      <c r="E408" s="265" t="s">
        <v>5749</v>
      </c>
      <c r="F408" s="268" t="s">
        <v>6383</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6348</v>
      </c>
      <c r="B409" s="260" t="s">
        <v>6380</v>
      </c>
      <c r="C409" s="261" t="s">
        <v>6427</v>
      </c>
      <c r="D409" s="264" t="s">
        <v>6428</v>
      </c>
      <c r="E409" s="265" t="s">
        <v>5749</v>
      </c>
      <c r="F409" s="268" t="s">
        <v>6429</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6348</v>
      </c>
      <c r="B410" s="259" t="s">
        <v>6430</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6348</v>
      </c>
      <c r="B411" s="260" t="s">
        <v>6430</v>
      </c>
      <c r="C411" s="261" t="s">
        <v>6431</v>
      </c>
      <c r="D411" s="264" t="s">
        <v>6432</v>
      </c>
      <c r="E411" s="265" t="s">
        <v>5605</v>
      </c>
      <c r="F411" s="268" t="s">
        <v>6355</v>
      </c>
      <c r="G411" s="271">
        <f>IF(COUNTIF(H411:AU411,"&lt;&gt;")=0,"",SUMPRODUCT(((Recommendations[ImplStatus]="Implemented")+(Recommendations[ImplStatus]="Compensated"))*ISNUMBER(MATCH(Recommendations[Id],H411:AU411,0)))/COUNTIF(H411:AU411,"&lt;&gt;"))</f>
        <v>0</v>
      </c>
      <c r="H411" s="272" t="s">
        <v>318</v>
      </c>
      <c r="I411" s="272" t="s">
        <v>343</v>
      </c>
      <c r="J411" s="272" t="s">
        <v>453</v>
      </c>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6348</v>
      </c>
      <c r="B412" s="260" t="s">
        <v>6430</v>
      </c>
      <c r="C412" s="261" t="s">
        <v>6433</v>
      </c>
      <c r="D412" s="264" t="s">
        <v>6434</v>
      </c>
      <c r="E412" s="265" t="s">
        <v>5605</v>
      </c>
      <c r="F412" s="268" t="s">
        <v>6355</v>
      </c>
      <c r="G412" s="271">
        <f>IF(COUNTIF(H412:AU412,"&lt;&gt;")=0,"",SUMPRODUCT(((Recommendations[ImplStatus]="Implemented")+(Recommendations[ImplStatus]="Compensated"))*ISNUMBER(MATCH(Recommendations[Id],H412:AU412,0)))/COUNTIF(H412:AU412,"&lt;&gt;"))</f>
        <v>0</v>
      </c>
      <c r="H412" s="272" t="s">
        <v>258</v>
      </c>
      <c r="I412" s="272" t="s">
        <v>593</v>
      </c>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6348</v>
      </c>
      <c r="B413" s="260" t="s">
        <v>6430</v>
      </c>
      <c r="C413" s="261" t="s">
        <v>6435</v>
      </c>
      <c r="D413" s="264" t="s">
        <v>6436</v>
      </c>
      <c r="E413" s="265" t="s">
        <v>5605</v>
      </c>
      <c r="F413" s="268" t="s">
        <v>6355</v>
      </c>
      <c r="G413" s="271">
        <f>IF(COUNTIF(H413:AU413,"&lt;&gt;")=0,"",SUMPRODUCT(((Recommendations[ImplStatus]="Implemented")+(Recommendations[ImplStatus]="Compensated"))*ISNUMBER(MATCH(Recommendations[Id],H413:AU413,0)))/COUNTIF(H413:AU413,"&lt;&gt;"))</f>
        <v>0</v>
      </c>
      <c r="H413" s="272" t="s">
        <v>253</v>
      </c>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6348</v>
      </c>
      <c r="B414" s="260" t="s">
        <v>6430</v>
      </c>
      <c r="C414" s="261" t="s">
        <v>6437</v>
      </c>
      <c r="D414" s="264" t="s">
        <v>6438</v>
      </c>
      <c r="E414" s="265" t="s">
        <v>5605</v>
      </c>
      <c r="F414" s="268" t="s">
        <v>6355</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6348</v>
      </c>
      <c r="B415" s="260" t="s">
        <v>6430</v>
      </c>
      <c r="C415" s="261" t="s">
        <v>6439</v>
      </c>
      <c r="D415" s="264" t="s">
        <v>6440</v>
      </c>
      <c r="E415" s="265" t="s">
        <v>5634</v>
      </c>
      <c r="F415" s="268" t="s">
        <v>6355</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6348</v>
      </c>
      <c r="B416" s="260" t="s">
        <v>6430</v>
      </c>
      <c r="C416" s="261" t="s">
        <v>6441</v>
      </c>
      <c r="D416" s="264" t="s">
        <v>6442</v>
      </c>
      <c r="E416" s="265" t="s">
        <v>5634</v>
      </c>
      <c r="F416" s="268" t="s">
        <v>6443</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6348</v>
      </c>
      <c r="B417" s="260" t="s">
        <v>6430</v>
      </c>
      <c r="C417" s="261" t="s">
        <v>6444</v>
      </c>
      <c r="D417" s="264" t="s">
        <v>6445</v>
      </c>
      <c r="E417" s="265" t="s">
        <v>5634</v>
      </c>
      <c r="F417" s="268" t="s">
        <v>6443</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6348</v>
      </c>
      <c r="B418" s="260" t="s">
        <v>6430</v>
      </c>
      <c r="C418" s="261" t="s">
        <v>6446</v>
      </c>
      <c r="D418" s="264" t="s">
        <v>6447</v>
      </c>
      <c r="E418" s="265" t="s">
        <v>5884</v>
      </c>
      <c r="F418" s="268" t="s">
        <v>6443</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6348</v>
      </c>
      <c r="B419" s="260" t="s">
        <v>6430</v>
      </c>
      <c r="C419" s="261" t="s">
        <v>6448</v>
      </c>
      <c r="D419" s="264" t="s">
        <v>6449</v>
      </c>
      <c r="E419" s="265" t="s">
        <v>5634</v>
      </c>
      <c r="F419" s="268" t="s">
        <v>6443</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6348</v>
      </c>
      <c r="B420" s="260" t="s">
        <v>6430</v>
      </c>
      <c r="C420" s="261" t="s">
        <v>6450</v>
      </c>
      <c r="D420" s="264" t="s">
        <v>6451</v>
      </c>
      <c r="E420" s="265" t="s">
        <v>5884</v>
      </c>
      <c r="F420" s="268" t="s">
        <v>6443</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6348</v>
      </c>
      <c r="B421" s="260" t="s">
        <v>6430</v>
      </c>
      <c r="C421" s="261" t="s">
        <v>6452</v>
      </c>
      <c r="D421" s="264" t="s">
        <v>6453</v>
      </c>
      <c r="E421" s="265" t="s">
        <v>5884</v>
      </c>
      <c r="F421" s="268" t="s">
        <v>6443</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6348</v>
      </c>
      <c r="B422" s="260" t="s">
        <v>6430</v>
      </c>
      <c r="C422" s="261" t="s">
        <v>6454</v>
      </c>
      <c r="D422" s="264" t="s">
        <v>6455</v>
      </c>
      <c r="E422" s="265" t="s">
        <v>5634</v>
      </c>
      <c r="F422" s="268" t="s">
        <v>6443</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6348</v>
      </c>
      <c r="B423" s="260" t="s">
        <v>6430</v>
      </c>
      <c r="C423" s="261" t="s">
        <v>6456</v>
      </c>
      <c r="D423" s="264" t="s">
        <v>6457</v>
      </c>
      <c r="E423" s="265" t="s">
        <v>5634</v>
      </c>
      <c r="F423" s="268" t="s">
        <v>6443</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6458</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6458</v>
      </c>
      <c r="B425" s="259" t="s">
        <v>6459</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6458</v>
      </c>
      <c r="B426" s="260" t="s">
        <v>6459</v>
      </c>
      <c r="C426" s="261" t="s">
        <v>6460</v>
      </c>
      <c r="D426" s="264" t="s">
        <v>6461</v>
      </c>
      <c r="E426" s="265" t="s">
        <v>5605</v>
      </c>
      <c r="F426" s="268" t="s">
        <v>6422</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6458</v>
      </c>
      <c r="B427" s="260" t="s">
        <v>6459</v>
      </c>
      <c r="C427" s="261" t="s">
        <v>6462</v>
      </c>
      <c r="D427" s="264" t="s">
        <v>6463</v>
      </c>
      <c r="E427" s="265" t="s">
        <v>5605</v>
      </c>
      <c r="F427" s="268" t="s">
        <v>6422</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6458</v>
      </c>
      <c r="B428" s="260" t="s">
        <v>6459</v>
      </c>
      <c r="C428" s="261" t="s">
        <v>6464</v>
      </c>
      <c r="D428" s="264" t="s">
        <v>6465</v>
      </c>
      <c r="E428" s="265" t="s">
        <v>5884</v>
      </c>
      <c r="F428" s="268" t="s">
        <v>6422</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6458</v>
      </c>
      <c r="B429" s="260" t="s">
        <v>6459</v>
      </c>
      <c r="C429" s="261" t="s">
        <v>6466</v>
      </c>
      <c r="D429" s="264" t="s">
        <v>6467</v>
      </c>
      <c r="E429" s="265" t="s">
        <v>5634</v>
      </c>
      <c r="F429" s="268" t="s">
        <v>6422</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6458</v>
      </c>
      <c r="B430" s="260" t="s">
        <v>6459</v>
      </c>
      <c r="C430" s="261" t="s">
        <v>6468</v>
      </c>
      <c r="D430" s="264" t="s">
        <v>6469</v>
      </c>
      <c r="E430" s="265" t="s">
        <v>5634</v>
      </c>
      <c r="F430" s="268" t="s">
        <v>6422</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6458</v>
      </c>
      <c r="B431" s="260" t="s">
        <v>6459</v>
      </c>
      <c r="C431" s="261" t="s">
        <v>6470</v>
      </c>
      <c r="D431" s="264" t="s">
        <v>6471</v>
      </c>
      <c r="E431" s="265" t="s">
        <v>5884</v>
      </c>
      <c r="F431" s="268" t="s">
        <v>6422</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6458</v>
      </c>
      <c r="B432" s="260" t="s">
        <v>6459</v>
      </c>
      <c r="C432" s="261" t="s">
        <v>6472</v>
      </c>
      <c r="D432" s="264" t="s">
        <v>6473</v>
      </c>
      <c r="E432" s="265" t="s">
        <v>5884</v>
      </c>
      <c r="F432" s="268" t="s">
        <v>6422</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6458</v>
      </c>
      <c r="B433" s="260" t="s">
        <v>6459</v>
      </c>
      <c r="C433" s="261" t="s">
        <v>6474</v>
      </c>
      <c r="D433" s="264" t="s">
        <v>6475</v>
      </c>
      <c r="E433" s="265" t="s">
        <v>5701</v>
      </c>
      <c r="F433" s="268" t="s">
        <v>6422</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6458</v>
      </c>
      <c r="B434" s="260" t="s">
        <v>6459</v>
      </c>
      <c r="C434" s="261" t="s">
        <v>6476</v>
      </c>
      <c r="D434" s="264" t="s">
        <v>6477</v>
      </c>
      <c r="E434" s="265" t="s">
        <v>5701</v>
      </c>
      <c r="F434" s="268" t="s">
        <v>6422</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6458</v>
      </c>
      <c r="B435" s="260" t="s">
        <v>6459</v>
      </c>
      <c r="C435" s="261" t="s">
        <v>6478</v>
      </c>
      <c r="D435" s="264" t="s">
        <v>6479</v>
      </c>
      <c r="E435" s="265" t="s">
        <v>5634</v>
      </c>
      <c r="F435" s="268" t="s">
        <v>6422</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6458</v>
      </c>
      <c r="B436" s="260" t="s">
        <v>6459</v>
      </c>
      <c r="C436" s="261" t="s">
        <v>6480</v>
      </c>
      <c r="D436" s="264" t="s">
        <v>6481</v>
      </c>
      <c r="E436" s="265" t="s">
        <v>5701</v>
      </c>
      <c r="F436" s="268" t="s">
        <v>6422</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6458</v>
      </c>
      <c r="B437" s="260" t="s">
        <v>6459</v>
      </c>
      <c r="C437" s="261" t="s">
        <v>6482</v>
      </c>
      <c r="D437" s="264" t="s">
        <v>6483</v>
      </c>
      <c r="E437" s="265" t="s">
        <v>5634</v>
      </c>
      <c r="F437" s="268" t="s">
        <v>6422</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6458</v>
      </c>
      <c r="B438" s="259" t="s">
        <v>6484</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6458</v>
      </c>
      <c r="B439" s="260" t="s">
        <v>6484</v>
      </c>
      <c r="C439" s="261" t="s">
        <v>6485</v>
      </c>
      <c r="D439" s="264" t="s">
        <v>6486</v>
      </c>
      <c r="E439" s="265" t="s">
        <v>5605</v>
      </c>
      <c r="F439" s="268" t="s">
        <v>6487</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6458</v>
      </c>
      <c r="B440" s="260" t="s">
        <v>6484</v>
      </c>
      <c r="C440" s="261" t="s">
        <v>6488</v>
      </c>
      <c r="D440" s="264" t="s">
        <v>6489</v>
      </c>
      <c r="E440" s="265" t="s">
        <v>5605</v>
      </c>
      <c r="F440" s="268" t="s">
        <v>6487</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6458</v>
      </c>
      <c r="B441" s="260" t="s">
        <v>6484</v>
      </c>
      <c r="C441" s="261" t="s">
        <v>6490</v>
      </c>
      <c r="D441" s="264" t="s">
        <v>6491</v>
      </c>
      <c r="E441" s="265" t="s">
        <v>5605</v>
      </c>
      <c r="F441" s="268" t="s">
        <v>6487</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6458</v>
      </c>
      <c r="B442" s="260" t="s">
        <v>6484</v>
      </c>
      <c r="C442" s="261" t="s">
        <v>6492</v>
      </c>
      <c r="D442" s="264" t="s">
        <v>6493</v>
      </c>
      <c r="E442" s="265" t="s">
        <v>5605</v>
      </c>
      <c r="F442" s="268" t="s">
        <v>6487</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6458</v>
      </c>
      <c r="B443" s="260" t="s">
        <v>6484</v>
      </c>
      <c r="C443" s="261" t="s">
        <v>6494</v>
      </c>
      <c r="D443" s="264" t="s">
        <v>6495</v>
      </c>
      <c r="E443" s="265" t="s">
        <v>5634</v>
      </c>
      <c r="F443" s="268" t="s">
        <v>6487</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6458</v>
      </c>
      <c r="B444" s="260" t="s">
        <v>6484</v>
      </c>
      <c r="C444" s="261" t="s">
        <v>6496</v>
      </c>
      <c r="D444" s="264" t="s">
        <v>6497</v>
      </c>
      <c r="E444" s="265" t="s">
        <v>5634</v>
      </c>
      <c r="F444" s="268" t="s">
        <v>6487</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6458</v>
      </c>
      <c r="B445" s="260" t="s">
        <v>6484</v>
      </c>
      <c r="C445" s="261" t="s">
        <v>6498</v>
      </c>
      <c r="D445" s="264" t="s">
        <v>6499</v>
      </c>
      <c r="E445" s="265" t="s">
        <v>5634</v>
      </c>
      <c r="F445" s="268" t="s">
        <v>6487</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6458</v>
      </c>
      <c r="B446" s="260" t="s">
        <v>6484</v>
      </c>
      <c r="C446" s="261" t="s">
        <v>6500</v>
      </c>
      <c r="D446" s="264" t="s">
        <v>6501</v>
      </c>
      <c r="E446" s="265" t="s">
        <v>5749</v>
      </c>
      <c r="F446" s="268" t="s">
        <v>6487</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6458</v>
      </c>
      <c r="B447" s="260" t="s">
        <v>6484</v>
      </c>
      <c r="C447" s="261" t="s">
        <v>6502</v>
      </c>
      <c r="D447" s="264" t="s">
        <v>6503</v>
      </c>
      <c r="E447" s="265" t="s">
        <v>5634</v>
      </c>
      <c r="F447" s="268" t="s">
        <v>6487</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6458</v>
      </c>
      <c r="B448" s="260" t="s">
        <v>6484</v>
      </c>
      <c r="C448" s="261" t="s">
        <v>6504</v>
      </c>
      <c r="D448" s="264" t="s">
        <v>6505</v>
      </c>
      <c r="E448" s="265" t="s">
        <v>5749</v>
      </c>
      <c r="F448" s="268" t="s">
        <v>6487</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6458</v>
      </c>
      <c r="B449" s="260" t="s">
        <v>6484</v>
      </c>
      <c r="C449" s="261" t="s">
        <v>6506</v>
      </c>
      <c r="D449" s="264" t="s">
        <v>6507</v>
      </c>
      <c r="E449" s="265" t="s">
        <v>5749</v>
      </c>
      <c r="F449" s="268" t="s">
        <v>6487</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6508</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6508</v>
      </c>
      <c r="B451" s="259" t="s">
        <v>6509</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6508</v>
      </c>
      <c r="B452" s="260" t="s">
        <v>6509</v>
      </c>
      <c r="C452" s="261" t="s">
        <v>6510</v>
      </c>
      <c r="D452" s="264" t="s">
        <v>6511</v>
      </c>
      <c r="E452" s="265" t="s">
        <v>5605</v>
      </c>
      <c r="F452" s="268" t="s">
        <v>6512</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6508</v>
      </c>
      <c r="B453" s="260" t="s">
        <v>6509</v>
      </c>
      <c r="C453" s="261" t="s">
        <v>6513</v>
      </c>
      <c r="D453" s="264" t="s">
        <v>6514</v>
      </c>
      <c r="E453" s="265" t="s">
        <v>5605</v>
      </c>
      <c r="F453" s="268" t="s">
        <v>6512</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6508</v>
      </c>
      <c r="B454" s="260" t="s">
        <v>6509</v>
      </c>
      <c r="C454" s="261" t="s">
        <v>6515</v>
      </c>
      <c r="D454" s="264" t="s">
        <v>6516</v>
      </c>
      <c r="E454" s="265" t="s">
        <v>5605</v>
      </c>
      <c r="F454" s="268" t="s">
        <v>6512</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6508</v>
      </c>
      <c r="B455" s="260" t="s">
        <v>6509</v>
      </c>
      <c r="C455" s="261" t="s">
        <v>6517</v>
      </c>
      <c r="D455" s="264" t="s">
        <v>6518</v>
      </c>
      <c r="E455" s="265" t="s">
        <v>5605</v>
      </c>
      <c r="F455" s="268" t="s">
        <v>6512</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6508</v>
      </c>
      <c r="B456" s="260" t="s">
        <v>6509</v>
      </c>
      <c r="C456" s="261" t="s">
        <v>6519</v>
      </c>
      <c r="D456" s="264" t="s">
        <v>6520</v>
      </c>
      <c r="E456" s="265" t="s">
        <v>5605</v>
      </c>
      <c r="F456" s="268" t="s">
        <v>6512</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6508</v>
      </c>
      <c r="B457" s="260" t="s">
        <v>6509</v>
      </c>
      <c r="C457" s="261" t="s">
        <v>6521</v>
      </c>
      <c r="D457" s="264" t="s">
        <v>6522</v>
      </c>
      <c r="E457" s="265" t="s">
        <v>5634</v>
      </c>
      <c r="F457" s="268" t="s">
        <v>6512</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6508</v>
      </c>
      <c r="B458" s="260" t="s">
        <v>6509</v>
      </c>
      <c r="C458" s="261" t="s">
        <v>6523</v>
      </c>
      <c r="D458" s="264" t="s">
        <v>6524</v>
      </c>
      <c r="E458" s="265" t="s">
        <v>5634</v>
      </c>
      <c r="F458" s="268" t="s">
        <v>6512</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6508</v>
      </c>
      <c r="B459" s="260" t="s">
        <v>6509</v>
      </c>
      <c r="C459" s="261" t="s">
        <v>6525</v>
      </c>
      <c r="D459" s="264" t="s">
        <v>6526</v>
      </c>
      <c r="E459" s="265" t="s">
        <v>5634</v>
      </c>
      <c r="F459" s="268" t="s">
        <v>6512</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6508</v>
      </c>
      <c r="B460" s="260" t="s">
        <v>6509</v>
      </c>
      <c r="C460" s="261" t="s">
        <v>6527</v>
      </c>
      <c r="D460" s="264" t="s">
        <v>6528</v>
      </c>
      <c r="E460" s="265" t="s">
        <v>5634</v>
      </c>
      <c r="F460" s="268" t="s">
        <v>6512</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6508</v>
      </c>
      <c r="B461" s="260" t="s">
        <v>6509</v>
      </c>
      <c r="C461" s="261" t="s">
        <v>6529</v>
      </c>
      <c r="D461" s="264" t="s">
        <v>6530</v>
      </c>
      <c r="E461" s="265" t="s">
        <v>5634</v>
      </c>
      <c r="F461" s="268" t="s">
        <v>6512</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6508</v>
      </c>
      <c r="B462" s="260" t="s">
        <v>6509</v>
      </c>
      <c r="C462" s="261" t="s">
        <v>6531</v>
      </c>
      <c r="D462" s="264" t="s">
        <v>6532</v>
      </c>
      <c r="E462" s="265" t="s">
        <v>5634</v>
      </c>
      <c r="F462" s="268" t="s">
        <v>6512</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6508</v>
      </c>
      <c r="B463" s="260" t="s">
        <v>6509</v>
      </c>
      <c r="C463" s="261" t="s">
        <v>6533</v>
      </c>
      <c r="D463" s="264" t="s">
        <v>6534</v>
      </c>
      <c r="E463" s="265" t="s">
        <v>5634</v>
      </c>
      <c r="F463" s="268" t="s">
        <v>6512</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6508</v>
      </c>
      <c r="B464" s="260" t="s">
        <v>6509</v>
      </c>
      <c r="C464" s="261" t="s">
        <v>6535</v>
      </c>
      <c r="D464" s="264" t="s">
        <v>6536</v>
      </c>
      <c r="E464" s="265" t="s">
        <v>5634</v>
      </c>
      <c r="F464" s="268" t="s">
        <v>6512</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6508</v>
      </c>
      <c r="B465" s="260" t="s">
        <v>6509</v>
      </c>
      <c r="C465" s="261" t="s">
        <v>6537</v>
      </c>
      <c r="D465" s="264" t="s">
        <v>6538</v>
      </c>
      <c r="E465" s="265" t="s">
        <v>5634</v>
      </c>
      <c r="F465" s="268" t="s">
        <v>6512</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6508</v>
      </c>
      <c r="B466" s="259" t="s">
        <v>6539</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6508</v>
      </c>
      <c r="B467" s="260" t="s">
        <v>6539</v>
      </c>
      <c r="C467" s="261" t="s">
        <v>6540</v>
      </c>
      <c r="D467" s="264" t="s">
        <v>6541</v>
      </c>
      <c r="E467" s="265" t="s">
        <v>5605</v>
      </c>
      <c r="F467" s="268" t="s">
        <v>5744</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6508</v>
      </c>
      <c r="B468" s="260" t="s">
        <v>6539</v>
      </c>
      <c r="C468" s="261" t="s">
        <v>6542</v>
      </c>
      <c r="D468" s="264" t="s">
        <v>6543</v>
      </c>
      <c r="E468" s="265" t="s">
        <v>5605</v>
      </c>
      <c r="F468" s="268" t="s">
        <v>5744</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6508</v>
      </c>
      <c r="B469" s="260" t="s">
        <v>6539</v>
      </c>
      <c r="C469" s="261" t="s">
        <v>6544</v>
      </c>
      <c r="D469" s="264" t="s">
        <v>6545</v>
      </c>
      <c r="E469" s="265" t="s">
        <v>5605</v>
      </c>
      <c r="F469" s="268" t="s">
        <v>5744</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6508</v>
      </c>
      <c r="B470" s="260" t="s">
        <v>6539</v>
      </c>
      <c r="C470" s="261" t="s">
        <v>6546</v>
      </c>
      <c r="D470" s="264" t="s">
        <v>6547</v>
      </c>
      <c r="E470" s="265" t="s">
        <v>5701</v>
      </c>
      <c r="F470" s="268" t="s">
        <v>6113</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6508</v>
      </c>
      <c r="B471" s="260" t="s">
        <v>6539</v>
      </c>
      <c r="C471" s="261" t="s">
        <v>6548</v>
      </c>
      <c r="D471" s="264" t="s">
        <v>6549</v>
      </c>
      <c r="E471" s="265" t="s">
        <v>5701</v>
      </c>
      <c r="F471" s="268" t="s">
        <v>6113</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6508</v>
      </c>
      <c r="B472" s="260" t="s">
        <v>6539</v>
      </c>
      <c r="C472" s="261" t="s">
        <v>6550</v>
      </c>
      <c r="D472" s="264" t="s">
        <v>6551</v>
      </c>
      <c r="E472" s="265" t="s">
        <v>5605</v>
      </c>
      <c r="F472" s="268" t="s">
        <v>6113</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6508</v>
      </c>
      <c r="B473" s="260" t="s">
        <v>6539</v>
      </c>
      <c r="C473" s="261" t="s">
        <v>6552</v>
      </c>
      <c r="D473" s="264" t="s">
        <v>6553</v>
      </c>
      <c r="E473" s="265" t="s">
        <v>5605</v>
      </c>
      <c r="F473" s="268" t="s">
        <v>6052</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6508</v>
      </c>
      <c r="B474" s="260" t="s">
        <v>6539</v>
      </c>
      <c r="C474" s="261" t="s">
        <v>6554</v>
      </c>
      <c r="D474" s="264" t="s">
        <v>6555</v>
      </c>
      <c r="E474" s="265" t="s">
        <v>5634</v>
      </c>
      <c r="F474" s="268" t="s">
        <v>6052</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6508</v>
      </c>
      <c r="B475" s="260" t="s">
        <v>6539</v>
      </c>
      <c r="C475" s="261" t="s">
        <v>6556</v>
      </c>
      <c r="D475" s="264" t="s">
        <v>6557</v>
      </c>
      <c r="E475" s="265" t="s">
        <v>5634</v>
      </c>
      <c r="F475" s="268" t="s">
        <v>6052</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6508</v>
      </c>
      <c r="B476" s="260" t="s">
        <v>6539</v>
      </c>
      <c r="C476" s="261" t="s">
        <v>6558</v>
      </c>
      <c r="D476" s="264" t="s">
        <v>6559</v>
      </c>
      <c r="E476" s="265" t="s">
        <v>5634</v>
      </c>
      <c r="F476" s="268" t="s">
        <v>6052</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6508</v>
      </c>
      <c r="B477" s="260" t="s">
        <v>6539</v>
      </c>
      <c r="C477" s="261" t="s">
        <v>6560</v>
      </c>
      <c r="D477" s="264" t="s">
        <v>6561</v>
      </c>
      <c r="E477" s="265" t="s">
        <v>5634</v>
      </c>
      <c r="F477" s="268" t="s">
        <v>6052</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6508</v>
      </c>
      <c r="B478" s="260" t="s">
        <v>6539</v>
      </c>
      <c r="C478" s="261" t="s">
        <v>6562</v>
      </c>
      <c r="D478" s="264" t="s">
        <v>6563</v>
      </c>
      <c r="E478" s="265" t="s">
        <v>5634</v>
      </c>
      <c r="F478" s="268" t="s">
        <v>6113</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6508</v>
      </c>
      <c r="B479" s="260" t="s">
        <v>6539</v>
      </c>
      <c r="C479" s="261" t="s">
        <v>6564</v>
      </c>
      <c r="D479" s="264" t="s">
        <v>6565</v>
      </c>
      <c r="E479" s="265" t="s">
        <v>5749</v>
      </c>
      <c r="F479" s="268" t="s">
        <v>6113</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6508</v>
      </c>
      <c r="B480" s="260" t="s">
        <v>6539</v>
      </c>
      <c r="C480" s="261" t="s">
        <v>6566</v>
      </c>
      <c r="D480" s="264" t="s">
        <v>6567</v>
      </c>
      <c r="E480" s="265" t="s">
        <v>5749</v>
      </c>
      <c r="F480" s="268" t="s">
        <v>6113</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6508</v>
      </c>
      <c r="B481" s="273" t="s">
        <v>6539</v>
      </c>
      <c r="C481" s="274" t="s">
        <v>6568</v>
      </c>
      <c r="D481" s="275" t="s">
        <v>6569</v>
      </c>
      <c r="E481" s="276" t="s">
        <v>5749</v>
      </c>
      <c r="F481" s="277" t="s">
        <v>5744</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865</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IFERROR(INDEX('Recommendations'!$H$2:$H$178, MATCH(H2,'Recommendations'!$A$2:$A$178,0))="Implemented", FALSE))</xm:f>
            <x14:dxf>
              <font>
                <color rgb="FF000000"/>
              </font>
              <fill>
                <patternFill>
                  <bgColor rgb="FF3C7D22"/>
                </patternFill>
              </fill>
            </x14:dxf>
          </x14:cfRule>
          <x14:cfRule type="expression" priority="2" id="{00000000-000E-0000-0B00-000002000000}">
            <xm:f>AND(H2&lt;&gt;"", IFERROR(INDEX('Recommendations'!$H$2:$H$178, MATCH(H2,'Recommendations'!$A$2:$A$178,0))="Compensated", FALSE))</xm:f>
            <x14:dxf>
              <font>
                <color rgb="FF000000"/>
              </font>
              <fill>
                <patternFill>
                  <bgColor rgb="FFC6E0B4"/>
                </patternFill>
              </fill>
            </x14:dxf>
          </x14:cfRule>
          <x14:cfRule type="expression" priority="3" id="{00000000-000E-0000-0B00-000003000000}">
            <xm:f>AND(H2&lt;&gt;"", IFERROR(INDEX('Recommendations'!$H$2:$H$178, MATCH(H2,'Recommendations'!$A$2:$A$178,0))="Testing", FALSE))</xm:f>
            <x14:dxf>
              <font>
                <color rgb="FF000000"/>
              </font>
              <fill>
                <patternFill>
                  <bgColor rgb="FFFFC000"/>
                </patternFill>
              </fill>
            </x14:dxf>
          </x14:cfRule>
          <x14:cfRule type="expression" priority="4" id="{00000000-000E-0000-0B00-000004000000}">
            <xm:f>AND(H2&lt;&gt;"", IFERROR(INDEX('Recommendations'!$H$2:$H$178, MATCH(H2,'Recommendations'!$A$2:$A$178,0))="Failed", FALSE))</xm:f>
            <x14:dxf>
              <font>
                <color rgb="FF000000"/>
              </font>
              <fill>
                <patternFill>
                  <bgColor rgb="FFD82891"/>
                </patternFill>
              </fill>
            </x14:dxf>
          </x14:cfRule>
          <x14:cfRule type="expression" priority="5" id="{00000000-000E-0000-0B00-000005000000}">
            <xm:f>AND(H2&lt;&gt;"", IFERROR(INDEX('Recommendations'!$H$2:$H$178, MATCH(H2,'Recommendations'!$A$2:$A$178,0))="Risk Accepted", FALSE))</xm:f>
            <x14:dxf>
              <font>
                <color rgb="FF000000"/>
              </font>
              <fill>
                <patternFill>
                  <bgColor rgb="FFD9D9D9"/>
                </patternFill>
              </fill>
            </x14:dxf>
          </x14:cfRule>
          <x14:cfRule type="expression" priority="6" id="{00000000-000E-0000-0B00-000006000000}">
            <xm:f>AND(H2&lt;&gt;"", IFERROR(INDEX('Recommendations'!$H$2:$H$178, MATCH(H2,'Recommendations'!$A$2:$A$178,0))="N/A",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949</v>
      </c>
      <c r="C2" s="293"/>
      <c r="D2" s="293"/>
      <c r="E2" s="293"/>
      <c r="F2" s="293"/>
      <c r="G2" s="293"/>
      <c r="H2" s="293"/>
      <c r="I2" s="293"/>
    </row>
    <row r="4" spans="2:15" ht="18.5" x14ac:dyDescent="0.45">
      <c r="B4" s="42" t="s">
        <v>950</v>
      </c>
    </row>
    <row r="5" spans="2:15" x14ac:dyDescent="0.35">
      <c r="B5" s="44" t="s">
        <v>21</v>
      </c>
      <c r="C5" s="44" t="s">
        <v>951</v>
      </c>
      <c r="D5" s="44" t="s">
        <v>952</v>
      </c>
      <c r="F5" s="294" t="s">
        <v>953</v>
      </c>
      <c r="G5" s="294"/>
      <c r="H5" s="294"/>
      <c r="I5" s="295" t="s">
        <v>954</v>
      </c>
      <c r="J5" s="295"/>
      <c r="K5" s="295"/>
      <c r="L5" s="295"/>
      <c r="M5" s="295"/>
      <c r="N5" s="295"/>
      <c r="O5" s="295"/>
    </row>
    <row r="6" spans="2:15" x14ac:dyDescent="0.35">
      <c r="B6" s="50" t="s">
        <v>955</v>
      </c>
      <c r="C6" s="51">
        <v>177</v>
      </c>
      <c r="D6" s="52" t="s">
        <v>21</v>
      </c>
      <c r="F6" s="294" t="s">
        <v>956</v>
      </c>
      <c r="G6" s="294"/>
      <c r="H6" s="294"/>
      <c r="I6" s="296" t="s">
        <v>957</v>
      </c>
      <c r="J6" s="296"/>
      <c r="K6" s="296"/>
      <c r="L6" s="296"/>
      <c r="M6" s="296"/>
      <c r="N6" s="296"/>
      <c r="O6" s="296"/>
    </row>
    <row r="7" spans="2:15" x14ac:dyDescent="0.35">
      <c r="B7" s="53" t="s">
        <v>958</v>
      </c>
      <c r="C7" s="54">
        <f>C6-C8-C9</f>
        <v>177</v>
      </c>
      <c r="D7" s="55">
        <f>IF(C6&gt;0,C7/C6,0)</f>
        <v>1</v>
      </c>
      <c r="F7" s="294" t="s">
        <v>959</v>
      </c>
      <c r="G7" s="294"/>
      <c r="H7" s="294"/>
      <c r="I7" s="296" t="s">
        <v>957</v>
      </c>
      <c r="J7" s="296"/>
      <c r="K7" s="296"/>
      <c r="L7" s="296"/>
      <c r="M7" s="296"/>
      <c r="N7" s="296"/>
      <c r="O7" s="296"/>
    </row>
    <row r="8" spans="2:15" x14ac:dyDescent="0.35">
      <c r="B8" s="46" t="s">
        <v>960</v>
      </c>
      <c r="C8" s="47">
        <f>COUNTIF('Recommendations'!H:H,"Risk Accepted")</f>
        <v>0</v>
      </c>
      <c r="D8" s="48">
        <f>IF(C6&gt;0,C8/C6,0)</f>
        <v>0</v>
      </c>
      <c r="F8" s="294" t="s">
        <v>961</v>
      </c>
      <c r="G8" s="294"/>
      <c r="H8" s="294"/>
      <c r="I8" s="296" t="s">
        <v>957</v>
      </c>
      <c r="J8" s="296"/>
      <c r="K8" s="296"/>
      <c r="L8" s="296"/>
      <c r="M8" s="296"/>
      <c r="N8" s="296"/>
      <c r="O8" s="296"/>
    </row>
    <row r="9" spans="2:15" x14ac:dyDescent="0.35">
      <c r="B9" s="46" t="s">
        <v>962</v>
      </c>
      <c r="C9" s="47">
        <f>COUNTIF('Recommendations'!H:H,"N/A")</f>
        <v>0</v>
      </c>
      <c r="D9" s="48">
        <f>IF(C6&gt;0,C9/C6,0)</f>
        <v>0</v>
      </c>
      <c r="F9" s="294" t="s">
        <v>963</v>
      </c>
      <c r="G9" s="294"/>
      <c r="H9" s="294"/>
      <c r="I9" s="296" t="s">
        <v>957</v>
      </c>
      <c r="J9" s="296"/>
      <c r="K9" s="296"/>
      <c r="L9" s="296"/>
      <c r="M9" s="296"/>
      <c r="N9" s="296"/>
      <c r="O9" s="296"/>
    </row>
    <row r="12" spans="2:15" ht="18.5" x14ac:dyDescent="0.45">
      <c r="B12" s="42" t="s">
        <v>964</v>
      </c>
    </row>
    <row r="14" spans="2:15" x14ac:dyDescent="0.35">
      <c r="B14" s="56" t="s">
        <v>965</v>
      </c>
    </row>
    <row r="15" spans="2:15" x14ac:dyDescent="0.35">
      <c r="B15" s="44" t="s">
        <v>21</v>
      </c>
      <c r="C15" s="44" t="s">
        <v>966</v>
      </c>
      <c r="D15" s="44" t="s">
        <v>967</v>
      </c>
      <c r="E15" s="44" t="s">
        <v>968</v>
      </c>
      <c r="F15" s="44" t="s">
        <v>969</v>
      </c>
    </row>
    <row r="16" spans="2:15" x14ac:dyDescent="0.35">
      <c r="B16" s="46" t="s">
        <v>970</v>
      </c>
      <c r="C16" s="47">
        <f>COUNTIF('Recommendations'!M:M,"Resolved")</f>
        <v>0</v>
      </c>
      <c r="D16" s="47">
        <f>COUNTIF('Recommendations'!M:M,"Testing")</f>
        <v>0</v>
      </c>
      <c r="E16" s="47">
        <f>COUNTIF('Recommendations'!M:M,"Outstanding")</f>
        <v>177</v>
      </c>
      <c r="F16" s="47">
        <f>SUM(C16:E16)</f>
        <v>177</v>
      </c>
    </row>
    <row r="18" spans="2:6" x14ac:dyDescent="0.35">
      <c r="B18" s="56" t="s">
        <v>971</v>
      </c>
    </row>
    <row r="19" spans="2:6" x14ac:dyDescent="0.35">
      <c r="B19" s="57" t="s">
        <v>21</v>
      </c>
      <c r="C19" s="57" t="s">
        <v>966</v>
      </c>
      <c r="D19" s="57" t="s">
        <v>967</v>
      </c>
      <c r="E19" s="57" t="s">
        <v>968</v>
      </c>
      <c r="F19" s="57" t="s">
        <v>21</v>
      </c>
    </row>
    <row r="20" spans="2:6" x14ac:dyDescent="0.35">
      <c r="B20" s="46" t="s">
        <v>970</v>
      </c>
      <c r="C20" s="48">
        <f>IF(F16&gt;0, C16/F16, 0)</f>
        <v>0</v>
      </c>
      <c r="D20" s="48">
        <f>IF(F16&gt;0, D16/F16, 0)</f>
        <v>0</v>
      </c>
      <c r="E20" s="48">
        <f>IF(F16&gt;0, E16/F16, 0)</f>
        <v>1</v>
      </c>
      <c r="F20" s="49" t="s">
        <v>21</v>
      </c>
    </row>
    <row r="25" spans="2:6" ht="18.5" x14ac:dyDescent="0.45">
      <c r="B25" s="42" t="s">
        <v>972</v>
      </c>
    </row>
    <row r="27" spans="2:6" x14ac:dyDescent="0.35">
      <c r="B27" s="56" t="s">
        <v>965</v>
      </c>
    </row>
    <row r="28" spans="2:6" x14ac:dyDescent="0.35">
      <c r="B28" s="44" t="s">
        <v>3</v>
      </c>
      <c r="C28" s="44" t="s">
        <v>966</v>
      </c>
      <c r="D28" s="44" t="s">
        <v>967</v>
      </c>
      <c r="E28" s="44" t="s">
        <v>968</v>
      </c>
      <c r="F28" s="44" t="s">
        <v>969</v>
      </c>
    </row>
    <row r="29" spans="2:6" x14ac:dyDescent="0.35">
      <c r="B29" s="46" t="s">
        <v>379</v>
      </c>
      <c r="C29" s="47">
        <f>COUNTIFS('Recommendations'!D:D,"VMW vSphere 6.5 vCenter Server for Windows",'Recommendations'!M:M,"=Resolved")</f>
        <v>0</v>
      </c>
      <c r="D29" s="47">
        <f>COUNTIFS('Recommendations'!D:D,"=VMW vSphere 6.5 vCenter Server for Windows",'Recommendations'!M:M,"=Testing")</f>
        <v>0</v>
      </c>
      <c r="E29" s="47">
        <f>COUNTIFS('Recommendations'!D:D,"=VMW vSphere 6.5 vCenter Server for Windows",'Recommendations'!M:M,"=Outstanding")</f>
        <v>65</v>
      </c>
      <c r="F29" s="47">
        <f>SUM(C29:E29)</f>
        <v>65</v>
      </c>
    </row>
    <row r="30" spans="2:6" x14ac:dyDescent="0.35">
      <c r="B30" s="46" t="s">
        <v>17</v>
      </c>
      <c r="C30" s="47">
        <f>COUNTIFS('Recommendations'!D:D,"VMware vSphere 6.5 ESXi",'Recommendations'!M:M,"=Resolved")</f>
        <v>0</v>
      </c>
      <c r="D30" s="47">
        <f>COUNTIFS('Recommendations'!D:D,"=VMware vSphere 6.5 ESXi",'Recommendations'!M:M,"=Testing")</f>
        <v>0</v>
      </c>
      <c r="E30" s="47">
        <f>COUNTIFS('Recommendations'!D:D,"=VMware vSphere 6.5 ESXi",'Recommendations'!M:M,"=Outstanding")</f>
        <v>73</v>
      </c>
      <c r="F30" s="47">
        <f>SUM(C30:E30)</f>
        <v>73</v>
      </c>
    </row>
    <row r="31" spans="2:6" x14ac:dyDescent="0.35">
      <c r="B31" s="46" t="s">
        <v>686</v>
      </c>
      <c r="C31" s="47">
        <f>COUNTIFS('Recommendations'!D:D,"VMware vSphere 6.5 Virtual Machine",'Recommendations'!M:M,"=Resolved")</f>
        <v>0</v>
      </c>
      <c r="D31" s="47">
        <f>COUNTIFS('Recommendations'!D:D,"=VMware vSphere 6.5 Virtual Machine",'Recommendations'!M:M,"=Testing")</f>
        <v>0</v>
      </c>
      <c r="E31" s="47">
        <f>COUNTIFS('Recommendations'!D:D,"=VMware vSphere 6.5 Virtual Machine",'Recommendations'!M:M,"=Outstanding")</f>
        <v>39</v>
      </c>
      <c r="F31" s="47">
        <f>SUM(C31:E31)</f>
        <v>39</v>
      </c>
    </row>
    <row r="33" spans="2:6" x14ac:dyDescent="0.35">
      <c r="B33" s="56" t="s">
        <v>971</v>
      </c>
    </row>
    <row r="34" spans="2:6" x14ac:dyDescent="0.35">
      <c r="B34" s="57" t="s">
        <v>3</v>
      </c>
      <c r="C34" s="57" t="s">
        <v>966</v>
      </c>
      <c r="D34" s="57" t="s">
        <v>967</v>
      </c>
      <c r="E34" s="57" t="s">
        <v>968</v>
      </c>
      <c r="F34" s="57" t="s">
        <v>21</v>
      </c>
    </row>
    <row r="35" spans="2:6" x14ac:dyDescent="0.35">
      <c r="B35" s="46" t="s">
        <v>379</v>
      </c>
      <c r="C35" s="48">
        <f>IF(F29&gt;0, C29/F29, 0)</f>
        <v>0</v>
      </c>
      <c r="D35" s="48">
        <f>IF(F29&gt;0, D29/F29, 0)</f>
        <v>0</v>
      </c>
      <c r="E35" s="48">
        <f>IF(F29&gt;0, E29/F29, 0)</f>
        <v>1</v>
      </c>
      <c r="F35" s="49" t="s">
        <v>21</v>
      </c>
    </row>
    <row r="36" spans="2:6" x14ac:dyDescent="0.35">
      <c r="B36" s="46" t="s">
        <v>17</v>
      </c>
      <c r="C36" s="48">
        <f>IF(F30&gt;0, C30/F30, 0)</f>
        <v>0</v>
      </c>
      <c r="D36" s="48">
        <f>IF(F30&gt;0, D30/F30, 0)</f>
        <v>0</v>
      </c>
      <c r="E36" s="48">
        <f>IF(F30&gt;0, E30/F30, 0)</f>
        <v>1</v>
      </c>
      <c r="F36" s="49" t="s">
        <v>21</v>
      </c>
    </row>
    <row r="37" spans="2:6" x14ac:dyDescent="0.35">
      <c r="B37" s="46" t="s">
        <v>686</v>
      </c>
      <c r="C37" s="48">
        <f>IF(F31&gt;0, C31/F31, 0)</f>
        <v>0</v>
      </c>
      <c r="D37" s="48">
        <f>IF(F31&gt;0, D31/F31, 0)</f>
        <v>0</v>
      </c>
      <c r="E37" s="48">
        <f>IF(F31&gt;0, E31/F31, 0)</f>
        <v>1</v>
      </c>
      <c r="F37" s="49" t="s">
        <v>21</v>
      </c>
    </row>
    <row r="42" spans="2:6" ht="18.5" x14ac:dyDescent="0.45">
      <c r="B42" s="42" t="s">
        <v>973</v>
      </c>
    </row>
    <row r="44" spans="2:6" x14ac:dyDescent="0.35">
      <c r="B44" s="56" t="s">
        <v>965</v>
      </c>
    </row>
    <row r="45" spans="2:6" x14ac:dyDescent="0.35">
      <c r="B45" s="44" t="s">
        <v>6</v>
      </c>
      <c r="C45" s="44" t="s">
        <v>966</v>
      </c>
      <c r="D45" s="44" t="s">
        <v>967</v>
      </c>
      <c r="E45" s="44" t="s">
        <v>968</v>
      </c>
      <c r="F45" s="44" t="s">
        <v>969</v>
      </c>
    </row>
    <row r="46" spans="2:6" x14ac:dyDescent="0.35">
      <c r="B46" s="46" t="s">
        <v>974</v>
      </c>
      <c r="C46" s="47">
        <f>COUNTIFS('Recommendations'!G:G,"Phase1",'Recommendations'!M:M,"=Resolved")</f>
        <v>0</v>
      </c>
      <c r="D46" s="47">
        <f>COUNTIFS('Recommendations'!G:G,"=Phase1",'Recommendations'!M:M,"=Testing")</f>
        <v>0</v>
      </c>
      <c r="E46" s="47">
        <f>COUNTIFS('Recommendations'!G:G,"=Phase1",'Recommendations'!M:M,"=Outstanding")</f>
        <v>0</v>
      </c>
      <c r="F46" s="47">
        <f t="shared" ref="F46:F51" si="0">SUM(C46:E46)</f>
        <v>0</v>
      </c>
    </row>
    <row r="47" spans="2:6" x14ac:dyDescent="0.35">
      <c r="B47" s="46" t="s">
        <v>975</v>
      </c>
      <c r="C47" s="47">
        <f>COUNTIFS('Recommendations'!G:G,"Phase2",'Recommendations'!M:M,"=Resolved")</f>
        <v>0</v>
      </c>
      <c r="D47" s="47">
        <f>COUNTIFS('Recommendations'!G:G,"=Phase2",'Recommendations'!M:M,"=Testing")</f>
        <v>0</v>
      </c>
      <c r="E47" s="47">
        <f>COUNTIFS('Recommendations'!G:G,"=Phase2",'Recommendations'!M:M,"=Outstanding")</f>
        <v>0</v>
      </c>
      <c r="F47" s="47">
        <f t="shared" si="0"/>
        <v>0</v>
      </c>
    </row>
    <row r="48" spans="2:6" x14ac:dyDescent="0.35">
      <c r="B48" s="46" t="s">
        <v>976</v>
      </c>
      <c r="C48" s="47">
        <f>COUNTIFS('Recommendations'!G:G,"Phase3",'Recommendations'!M:M,"=Resolved")</f>
        <v>0</v>
      </c>
      <c r="D48" s="47">
        <f>COUNTIFS('Recommendations'!G:G,"=Phase3",'Recommendations'!M:M,"=Testing")</f>
        <v>0</v>
      </c>
      <c r="E48" s="47">
        <f>COUNTIFS('Recommendations'!G:G,"=Phase3",'Recommendations'!M:M,"=Outstanding")</f>
        <v>0</v>
      </c>
      <c r="F48" s="47">
        <f t="shared" si="0"/>
        <v>0</v>
      </c>
    </row>
    <row r="49" spans="2:6" x14ac:dyDescent="0.35">
      <c r="B49" s="46" t="s">
        <v>977</v>
      </c>
      <c r="C49" s="47">
        <f>COUNTIFS('Recommendations'!G:G,"Phase4",'Recommendations'!M:M,"=Resolved")</f>
        <v>0</v>
      </c>
      <c r="D49" s="47">
        <f>COUNTIFS('Recommendations'!G:G,"=Phase4",'Recommendations'!M:M,"=Testing")</f>
        <v>0</v>
      </c>
      <c r="E49" s="47">
        <f>COUNTIFS('Recommendations'!G:G,"=Phase4",'Recommendations'!M:M,"=Outstanding")</f>
        <v>0</v>
      </c>
      <c r="F49" s="47">
        <f t="shared" si="0"/>
        <v>0</v>
      </c>
    </row>
    <row r="50" spans="2:6" x14ac:dyDescent="0.35">
      <c r="B50" s="46" t="s">
        <v>978</v>
      </c>
      <c r="C50" s="47">
        <f>COUNTIFS('Recommendations'!G:G,"Phase5",'Recommendations'!M:M,"=Resolved")</f>
        <v>0</v>
      </c>
      <c r="D50" s="47">
        <f>COUNTIFS('Recommendations'!G:G,"=Phase5",'Recommendations'!M:M,"=Testing")</f>
        <v>0</v>
      </c>
      <c r="E50" s="47">
        <f>COUNTIFS('Recommendations'!G:G,"=Phase5",'Recommendations'!M:M,"=Outstanding")</f>
        <v>0</v>
      </c>
      <c r="F50" s="47">
        <f t="shared" si="0"/>
        <v>0</v>
      </c>
    </row>
    <row r="51" spans="2:6" x14ac:dyDescent="0.35">
      <c r="B51" s="46" t="s">
        <v>20</v>
      </c>
      <c r="C51" s="47">
        <f>COUNTIFS('Recommendations'!G:G,"Pending",'Recommendations'!M:M,"=Resolved")</f>
        <v>0</v>
      </c>
      <c r="D51" s="47">
        <f>COUNTIFS('Recommendations'!G:G,"=Pending",'Recommendations'!M:M,"=Testing")</f>
        <v>0</v>
      </c>
      <c r="E51" s="47">
        <f>COUNTIFS('Recommendations'!G:G,"=Pending",'Recommendations'!M:M,"=Outstanding")</f>
        <v>177</v>
      </c>
      <c r="F51" s="47">
        <f t="shared" si="0"/>
        <v>177</v>
      </c>
    </row>
    <row r="53" spans="2:6" x14ac:dyDescent="0.35">
      <c r="B53" s="56" t="s">
        <v>971</v>
      </c>
    </row>
    <row r="54" spans="2:6" x14ac:dyDescent="0.35">
      <c r="B54" s="57" t="s">
        <v>6</v>
      </c>
      <c r="C54" s="57" t="s">
        <v>966</v>
      </c>
      <c r="D54" s="57" t="s">
        <v>967</v>
      </c>
      <c r="E54" s="57" t="s">
        <v>968</v>
      </c>
      <c r="F54" s="57" t="s">
        <v>21</v>
      </c>
    </row>
    <row r="55" spans="2:6" x14ac:dyDescent="0.35">
      <c r="B55" s="46" t="s">
        <v>974</v>
      </c>
      <c r="C55" s="48">
        <f t="shared" ref="C55:C60" si="1">IF(F46&gt;0, C46/F46, 0)</f>
        <v>0</v>
      </c>
      <c r="D55" s="48">
        <f t="shared" ref="D55:D60" si="2">IF(F46&gt;0, D46/F46, 0)</f>
        <v>0</v>
      </c>
      <c r="E55" s="48">
        <f t="shared" ref="E55:E60" si="3">IF(F46&gt;0, E46/F46, 0)</f>
        <v>0</v>
      </c>
      <c r="F55" s="49" t="s">
        <v>21</v>
      </c>
    </row>
    <row r="56" spans="2:6" x14ac:dyDescent="0.35">
      <c r="B56" s="46" t="s">
        <v>975</v>
      </c>
      <c r="C56" s="48">
        <f t="shared" si="1"/>
        <v>0</v>
      </c>
      <c r="D56" s="48">
        <f t="shared" si="2"/>
        <v>0</v>
      </c>
      <c r="E56" s="48">
        <f t="shared" si="3"/>
        <v>0</v>
      </c>
      <c r="F56" s="49" t="s">
        <v>21</v>
      </c>
    </row>
    <row r="57" spans="2:6" x14ac:dyDescent="0.35">
      <c r="B57" s="46" t="s">
        <v>976</v>
      </c>
      <c r="C57" s="48">
        <f t="shared" si="1"/>
        <v>0</v>
      </c>
      <c r="D57" s="48">
        <f t="shared" si="2"/>
        <v>0</v>
      </c>
      <c r="E57" s="48">
        <f t="shared" si="3"/>
        <v>0</v>
      </c>
      <c r="F57" s="49" t="s">
        <v>21</v>
      </c>
    </row>
    <row r="58" spans="2:6" x14ac:dyDescent="0.35">
      <c r="B58" s="46" t="s">
        <v>977</v>
      </c>
      <c r="C58" s="48">
        <f t="shared" si="1"/>
        <v>0</v>
      </c>
      <c r="D58" s="48">
        <f t="shared" si="2"/>
        <v>0</v>
      </c>
      <c r="E58" s="48">
        <f t="shared" si="3"/>
        <v>0</v>
      </c>
      <c r="F58" s="49" t="s">
        <v>21</v>
      </c>
    </row>
    <row r="59" spans="2:6" x14ac:dyDescent="0.35">
      <c r="B59" s="46" t="s">
        <v>978</v>
      </c>
      <c r="C59" s="48">
        <f t="shared" si="1"/>
        <v>0</v>
      </c>
      <c r="D59" s="48">
        <f t="shared" si="2"/>
        <v>0</v>
      </c>
      <c r="E59" s="48">
        <f t="shared" si="3"/>
        <v>0</v>
      </c>
      <c r="F59" s="49" t="s">
        <v>21</v>
      </c>
    </row>
    <row r="60" spans="2:6" x14ac:dyDescent="0.35">
      <c r="B60" s="46" t="s">
        <v>20</v>
      </c>
      <c r="C60" s="48">
        <f t="shared" si="1"/>
        <v>0</v>
      </c>
      <c r="D60" s="48">
        <f t="shared" si="2"/>
        <v>0</v>
      </c>
      <c r="E60" s="48">
        <f t="shared" si="3"/>
        <v>1</v>
      </c>
      <c r="F60" s="49" t="s">
        <v>21</v>
      </c>
    </row>
    <row r="65" spans="2:6" ht="18.5" x14ac:dyDescent="0.45">
      <c r="B65" s="42" t="s">
        <v>979</v>
      </c>
    </row>
    <row r="67" spans="2:6" x14ac:dyDescent="0.35">
      <c r="B67" s="56" t="s">
        <v>965</v>
      </c>
    </row>
    <row r="68" spans="2:6" x14ac:dyDescent="0.35">
      <c r="B68" s="44" t="s">
        <v>2</v>
      </c>
      <c r="C68" s="44" t="s">
        <v>966</v>
      </c>
      <c r="D68" s="44" t="s">
        <v>967</v>
      </c>
      <c r="E68" s="44" t="s">
        <v>968</v>
      </c>
      <c r="F68" s="44" t="s">
        <v>969</v>
      </c>
    </row>
    <row r="69" spans="2:6" x14ac:dyDescent="0.35">
      <c r="B69" s="46" t="s">
        <v>70</v>
      </c>
      <c r="C69" s="47">
        <f>COUNTIFS('Recommendations'!C:C,"CAT I (High)",'Recommendations'!M:M,"=Resolved")</f>
        <v>0</v>
      </c>
      <c r="D69" s="47">
        <f>COUNTIFS('Recommendations'!C:C,"=CAT I (High)",'Recommendations'!M:M,"=Testing")</f>
        <v>0</v>
      </c>
      <c r="E69" s="47">
        <f>COUNTIFS('Recommendations'!C:C,"=CAT I (High)",'Recommendations'!M:M,"=Outstanding")</f>
        <v>8</v>
      </c>
      <c r="F69" s="47">
        <f>SUM(C69:E69)</f>
        <v>8</v>
      </c>
    </row>
    <row r="70" spans="2:6" x14ac:dyDescent="0.35">
      <c r="B70" s="46" t="s">
        <v>16</v>
      </c>
      <c r="C70" s="47">
        <f>COUNTIFS('Recommendations'!C:C,"CAT II (Medium)",'Recommendations'!M:M,"=Resolved")</f>
        <v>0</v>
      </c>
      <c r="D70" s="47">
        <f>COUNTIFS('Recommendations'!C:C,"=CAT II (Medium)",'Recommendations'!M:M,"=Testing")</f>
        <v>0</v>
      </c>
      <c r="E70" s="47">
        <f>COUNTIFS('Recommendations'!C:C,"=CAT II (Medium)",'Recommendations'!M:M,"=Outstanding")</f>
        <v>115</v>
      </c>
      <c r="F70" s="47">
        <f>SUM(C70:E70)</f>
        <v>115</v>
      </c>
    </row>
    <row r="71" spans="2:6" x14ac:dyDescent="0.35">
      <c r="B71" s="46" t="s">
        <v>27</v>
      </c>
      <c r="C71" s="47">
        <f>COUNTIFS('Recommendations'!C:C,"CAT III (Low)",'Recommendations'!M:M,"=Resolved")</f>
        <v>0</v>
      </c>
      <c r="D71" s="47">
        <f>COUNTIFS('Recommendations'!C:C,"=CAT III (Low)",'Recommendations'!M:M,"=Testing")</f>
        <v>0</v>
      </c>
      <c r="E71" s="47">
        <f>COUNTIFS('Recommendations'!C:C,"=CAT III (Low)",'Recommendations'!M:M,"=Outstanding")</f>
        <v>54</v>
      </c>
      <c r="F71" s="47">
        <f>SUM(C71:E71)</f>
        <v>54</v>
      </c>
    </row>
    <row r="73" spans="2:6" x14ac:dyDescent="0.35">
      <c r="B73" s="56" t="s">
        <v>971</v>
      </c>
    </row>
    <row r="74" spans="2:6" x14ac:dyDescent="0.35">
      <c r="B74" s="57" t="s">
        <v>2</v>
      </c>
      <c r="C74" s="57" t="s">
        <v>966</v>
      </c>
      <c r="D74" s="57" t="s">
        <v>967</v>
      </c>
      <c r="E74" s="57" t="s">
        <v>968</v>
      </c>
      <c r="F74" s="57" t="s">
        <v>21</v>
      </c>
    </row>
    <row r="75" spans="2:6" x14ac:dyDescent="0.35">
      <c r="B75" s="46" t="s">
        <v>70</v>
      </c>
      <c r="C75" s="48">
        <f>IF(F69&gt;0, C69/F69, 0)</f>
        <v>0</v>
      </c>
      <c r="D75" s="48">
        <f>IF(F69&gt;0, D69/F69, 0)</f>
        <v>0</v>
      </c>
      <c r="E75" s="48">
        <f>IF(F69&gt;0, E69/F69, 0)</f>
        <v>1</v>
      </c>
      <c r="F75" s="49" t="s">
        <v>21</v>
      </c>
    </row>
    <row r="76" spans="2:6" x14ac:dyDescent="0.35">
      <c r="B76" s="46" t="s">
        <v>16</v>
      </c>
      <c r="C76" s="48">
        <f>IF(F70&gt;0, C70/F70, 0)</f>
        <v>0</v>
      </c>
      <c r="D76" s="48">
        <f>IF(F70&gt;0, D70/F70, 0)</f>
        <v>0</v>
      </c>
      <c r="E76" s="48">
        <f>IF(F70&gt;0, E70/F70, 0)</f>
        <v>1</v>
      </c>
      <c r="F76" s="49" t="s">
        <v>21</v>
      </c>
    </row>
    <row r="77" spans="2:6" x14ac:dyDescent="0.35">
      <c r="B77" s="46" t="s">
        <v>27</v>
      </c>
      <c r="C77" s="48">
        <f>IF(F71&gt;0, C71/F71, 0)</f>
        <v>0</v>
      </c>
      <c r="D77" s="48">
        <f>IF(F71&gt;0, D71/F71, 0)</f>
        <v>0</v>
      </c>
      <c r="E77" s="48">
        <f>IF(F71&gt;0, E71/F71, 0)</f>
        <v>1</v>
      </c>
      <c r="F77" s="49" t="s">
        <v>21</v>
      </c>
    </row>
    <row r="82" spans="2:6" ht="18.5" x14ac:dyDescent="0.45">
      <c r="B82" s="42" t="s">
        <v>980</v>
      </c>
    </row>
    <row r="84" spans="2:6" x14ac:dyDescent="0.35">
      <c r="B84" s="56" t="s">
        <v>965</v>
      </c>
    </row>
    <row r="85" spans="2:6" x14ac:dyDescent="0.35">
      <c r="B85" s="44" t="s">
        <v>4</v>
      </c>
      <c r="C85" s="44" t="s">
        <v>966</v>
      </c>
      <c r="D85" s="44" t="s">
        <v>967</v>
      </c>
      <c r="E85" s="44" t="s">
        <v>968</v>
      </c>
      <c r="F85" s="44" t="s">
        <v>969</v>
      </c>
    </row>
    <row r="86" spans="2:6" x14ac:dyDescent="0.35">
      <c r="B86" s="46" t="s">
        <v>981</v>
      </c>
      <c r="C86" s="47">
        <f>COUNTIFS('Recommendations'!E:E,"Must",'Recommendations'!M:M,"=Resolved")</f>
        <v>0</v>
      </c>
      <c r="D86" s="47">
        <f>COUNTIFS('Recommendations'!E:E,"=Must",'Recommendations'!M:M,"=Testing")</f>
        <v>0</v>
      </c>
      <c r="E86" s="47">
        <f>COUNTIFS('Recommendations'!E:E,"=Must",'Recommendations'!M:M,"=Outstanding")</f>
        <v>0</v>
      </c>
      <c r="F86" s="47">
        <f>SUM(C86:E86)</f>
        <v>0</v>
      </c>
    </row>
    <row r="87" spans="2:6" x14ac:dyDescent="0.35">
      <c r="B87" s="46" t="s">
        <v>982</v>
      </c>
      <c r="C87" s="47">
        <f>COUNTIFS('Recommendations'!E:E,"Should",'Recommendations'!M:M,"=Resolved")</f>
        <v>0</v>
      </c>
      <c r="D87" s="47">
        <f>COUNTIFS('Recommendations'!E:E,"=Should",'Recommendations'!M:M,"=Testing")</f>
        <v>0</v>
      </c>
      <c r="E87" s="47">
        <f>COUNTIFS('Recommendations'!E:E,"=Should",'Recommendations'!M:M,"=Outstanding")</f>
        <v>0</v>
      </c>
      <c r="F87" s="47">
        <f>SUM(C87:E87)</f>
        <v>0</v>
      </c>
    </row>
    <row r="88" spans="2:6" x14ac:dyDescent="0.35">
      <c r="B88" s="46" t="s">
        <v>983</v>
      </c>
      <c r="C88" s="47">
        <f>COUNTIFS('Recommendations'!E:E,"Could",'Recommendations'!M:M,"=Resolved")</f>
        <v>0</v>
      </c>
      <c r="D88" s="47">
        <f>COUNTIFS('Recommendations'!E:E,"=Could",'Recommendations'!M:M,"=Testing")</f>
        <v>0</v>
      </c>
      <c r="E88" s="47">
        <f>COUNTIFS('Recommendations'!E:E,"=Could",'Recommendations'!M:M,"=Outstanding")</f>
        <v>0</v>
      </c>
      <c r="F88" s="47">
        <f>SUM(C88:E88)</f>
        <v>0</v>
      </c>
    </row>
    <row r="89" spans="2:6" x14ac:dyDescent="0.35">
      <c r="B89" s="46" t="s">
        <v>984</v>
      </c>
      <c r="C89" s="47">
        <f>COUNTIFS('Recommendations'!E:E,"Won't",'Recommendations'!M:M,"=Resolved")</f>
        <v>0</v>
      </c>
      <c r="D89" s="47">
        <f>COUNTIFS('Recommendations'!E:E,"=Won't",'Recommendations'!M:M,"=Testing")</f>
        <v>0</v>
      </c>
      <c r="E89" s="47">
        <f>COUNTIFS('Recommendations'!E:E,"=Won't",'Recommendations'!M:M,"=Outstanding")</f>
        <v>0</v>
      </c>
      <c r="F89" s="47">
        <f>SUM(C89:E89)</f>
        <v>0</v>
      </c>
    </row>
    <row r="90" spans="2:6" x14ac:dyDescent="0.35">
      <c r="B90" s="46" t="s">
        <v>18</v>
      </c>
      <c r="C90" s="47">
        <f>COUNTIFS('Recommendations'!E:E,"Unassigned",'Recommendations'!M:M,"=Resolved")</f>
        <v>0</v>
      </c>
      <c r="D90" s="47">
        <f>COUNTIFS('Recommendations'!E:E,"=Unassigned",'Recommendations'!M:M,"=Testing")</f>
        <v>0</v>
      </c>
      <c r="E90" s="47">
        <f>COUNTIFS('Recommendations'!E:E,"=Unassigned",'Recommendations'!M:M,"=Outstanding")</f>
        <v>177</v>
      </c>
      <c r="F90" s="47">
        <f>SUM(C90:E90)</f>
        <v>177</v>
      </c>
    </row>
    <row r="92" spans="2:6" x14ac:dyDescent="0.35">
      <c r="B92" s="56" t="s">
        <v>971</v>
      </c>
    </row>
    <row r="93" spans="2:6" x14ac:dyDescent="0.35">
      <c r="B93" s="57" t="s">
        <v>4</v>
      </c>
      <c r="C93" s="57" t="s">
        <v>966</v>
      </c>
      <c r="D93" s="57" t="s">
        <v>967</v>
      </c>
      <c r="E93" s="57" t="s">
        <v>968</v>
      </c>
      <c r="F93" s="57" t="s">
        <v>21</v>
      </c>
    </row>
    <row r="94" spans="2:6" x14ac:dyDescent="0.35">
      <c r="B94" s="46" t="s">
        <v>981</v>
      </c>
      <c r="C94" s="48">
        <f>IF(F86&gt;0, C86/F86, 0)</f>
        <v>0</v>
      </c>
      <c r="D94" s="48">
        <f>IF(F86&gt;0, D86/F86, 0)</f>
        <v>0</v>
      </c>
      <c r="E94" s="48">
        <f>IF(F86&gt;0, E86/F86, 0)</f>
        <v>0</v>
      </c>
      <c r="F94" s="49" t="s">
        <v>21</v>
      </c>
    </row>
    <row r="95" spans="2:6" x14ac:dyDescent="0.35">
      <c r="B95" s="46" t="s">
        <v>982</v>
      </c>
      <c r="C95" s="48">
        <f>IF(F87&gt;0, C87/F87, 0)</f>
        <v>0</v>
      </c>
      <c r="D95" s="48">
        <f>IF(F87&gt;0, D87/F87, 0)</f>
        <v>0</v>
      </c>
      <c r="E95" s="48">
        <f>IF(F87&gt;0, E87/F87, 0)</f>
        <v>0</v>
      </c>
      <c r="F95" s="49" t="s">
        <v>21</v>
      </c>
    </row>
    <row r="96" spans="2:6" x14ac:dyDescent="0.35">
      <c r="B96" s="46" t="s">
        <v>983</v>
      </c>
      <c r="C96" s="48">
        <f>IF(F88&gt;0, C88/F88, 0)</f>
        <v>0</v>
      </c>
      <c r="D96" s="48">
        <f>IF(F88&gt;0, D88/F88, 0)</f>
        <v>0</v>
      </c>
      <c r="E96" s="48">
        <f>IF(F88&gt;0, E88/F88, 0)</f>
        <v>0</v>
      </c>
      <c r="F96" s="49" t="s">
        <v>21</v>
      </c>
    </row>
    <row r="97" spans="2:6" x14ac:dyDescent="0.35">
      <c r="B97" s="46" t="s">
        <v>984</v>
      </c>
      <c r="C97" s="48">
        <f>IF(F89&gt;0, C89/F89, 0)</f>
        <v>0</v>
      </c>
      <c r="D97" s="48">
        <f>IF(F89&gt;0, D89/F89, 0)</f>
        <v>0</v>
      </c>
      <c r="E97" s="48">
        <f>IF(F89&gt;0, E89/F89, 0)</f>
        <v>0</v>
      </c>
      <c r="F97" s="49" t="s">
        <v>21</v>
      </c>
    </row>
    <row r="98" spans="2:6" x14ac:dyDescent="0.35">
      <c r="B98" s="46" t="s">
        <v>18</v>
      </c>
      <c r="C98" s="48">
        <f>IF(F90&gt;0, C90/F90, 0)</f>
        <v>0</v>
      </c>
      <c r="D98" s="48">
        <f>IF(F90&gt;0, D90/F90, 0)</f>
        <v>0</v>
      </c>
      <c r="E98" s="48">
        <f>IF(F90&gt;0, E90/F90, 0)</f>
        <v>1</v>
      </c>
      <c r="F98" s="49" t="s">
        <v>21</v>
      </c>
    </row>
    <row r="103" spans="2:6" ht="18.5" x14ac:dyDescent="0.45">
      <c r="B103" s="42" t="s">
        <v>985</v>
      </c>
    </row>
    <row r="105" spans="2:6" x14ac:dyDescent="0.35">
      <c r="B105" s="56" t="s">
        <v>965</v>
      </c>
    </row>
    <row r="106" spans="2:6" x14ac:dyDescent="0.35">
      <c r="B106" s="44" t="s">
        <v>986</v>
      </c>
      <c r="C106" s="44" t="s">
        <v>966</v>
      </c>
      <c r="D106" s="44" t="s">
        <v>967</v>
      </c>
      <c r="E106" s="44" t="s">
        <v>968</v>
      </c>
      <c r="F106" s="44" t="s">
        <v>969</v>
      </c>
    </row>
    <row r="107" spans="2:6" x14ac:dyDescent="0.35">
      <c r="B107" s="46" t="s">
        <v>987</v>
      </c>
      <c r="C107" s="47">
        <f>COUNTIFS('Recommendations'!F:F,"Low",'Recommendations'!M:M,"=Resolved")</f>
        <v>0</v>
      </c>
      <c r="D107" s="47">
        <f>COUNTIFS('Recommendations'!F:F,"=Low",'Recommendations'!M:M,"=Testing")</f>
        <v>0</v>
      </c>
      <c r="E107" s="47">
        <f>COUNTIFS('Recommendations'!F:F,"=Low",'Recommendations'!M:M,"=Outstanding")</f>
        <v>0</v>
      </c>
      <c r="F107" s="47">
        <f>SUM(C107:E107)</f>
        <v>0</v>
      </c>
    </row>
    <row r="108" spans="2:6" x14ac:dyDescent="0.35">
      <c r="B108" s="46" t="s">
        <v>988</v>
      </c>
      <c r="C108" s="47">
        <f>COUNTIFS('Recommendations'!F:F,"Medium",'Recommendations'!M:M,"=Resolved")</f>
        <v>0</v>
      </c>
      <c r="D108" s="47">
        <f>COUNTIFS('Recommendations'!F:F,"=Medium",'Recommendations'!M:M,"=Testing")</f>
        <v>0</v>
      </c>
      <c r="E108" s="47">
        <f>COUNTIFS('Recommendations'!F:F,"=Medium",'Recommendations'!M:M,"=Outstanding")</f>
        <v>0</v>
      </c>
      <c r="F108" s="47">
        <f>SUM(C108:E108)</f>
        <v>0</v>
      </c>
    </row>
    <row r="109" spans="2:6" x14ac:dyDescent="0.35">
      <c r="B109" s="46" t="s">
        <v>989</v>
      </c>
      <c r="C109" s="47">
        <f>COUNTIFS('Recommendations'!F:F,"High",'Recommendations'!M:M,"=Resolved")</f>
        <v>0</v>
      </c>
      <c r="D109" s="47">
        <f>COUNTIFS('Recommendations'!F:F,"=High",'Recommendations'!M:M,"=Testing")</f>
        <v>0</v>
      </c>
      <c r="E109" s="47">
        <f>COUNTIFS('Recommendations'!F:F,"=High",'Recommendations'!M:M,"=Outstanding")</f>
        <v>0</v>
      </c>
      <c r="F109" s="47">
        <f>SUM(C109:E109)</f>
        <v>0</v>
      </c>
    </row>
    <row r="110" spans="2:6" x14ac:dyDescent="0.35">
      <c r="B110" s="46" t="s">
        <v>19</v>
      </c>
      <c r="C110" s="47">
        <f>COUNTIFS('Recommendations'!F:F,"Unassessed",'Recommendations'!M:M,"=Resolved")</f>
        <v>0</v>
      </c>
      <c r="D110" s="47">
        <f>COUNTIFS('Recommendations'!F:F,"=Unassessed",'Recommendations'!M:M,"=Testing")</f>
        <v>0</v>
      </c>
      <c r="E110" s="47">
        <f>COUNTIFS('Recommendations'!F:F,"=Unassessed",'Recommendations'!M:M,"=Outstanding")</f>
        <v>177</v>
      </c>
      <c r="F110" s="47">
        <f>SUM(C110:E110)</f>
        <v>177</v>
      </c>
    </row>
    <row r="112" spans="2:6" x14ac:dyDescent="0.35">
      <c r="B112" s="56" t="s">
        <v>971</v>
      </c>
    </row>
    <row r="113" spans="2:15" x14ac:dyDescent="0.35">
      <c r="B113" s="57" t="s">
        <v>986</v>
      </c>
      <c r="C113" s="57" t="s">
        <v>966</v>
      </c>
      <c r="D113" s="57" t="s">
        <v>967</v>
      </c>
      <c r="E113" s="57" t="s">
        <v>968</v>
      </c>
      <c r="F113" s="57" t="s">
        <v>21</v>
      </c>
    </row>
    <row r="114" spans="2:15" x14ac:dyDescent="0.35">
      <c r="B114" s="46" t="s">
        <v>987</v>
      </c>
      <c r="C114" s="48">
        <f>IF(F107&gt;0, C107/F107, 0)</f>
        <v>0</v>
      </c>
      <c r="D114" s="48">
        <f>IF(F107&gt;0, D107/F107, 0)</f>
        <v>0</v>
      </c>
      <c r="E114" s="48">
        <f>IF(F107&gt;0, E107/F107, 0)</f>
        <v>0</v>
      </c>
      <c r="F114" s="49" t="s">
        <v>21</v>
      </c>
    </row>
    <row r="115" spans="2:15" x14ac:dyDescent="0.35">
      <c r="B115" s="46" t="s">
        <v>988</v>
      </c>
      <c r="C115" s="48">
        <f>IF(F108&gt;0, C108/F108, 0)</f>
        <v>0</v>
      </c>
      <c r="D115" s="48">
        <f>IF(F108&gt;0, D108/F108, 0)</f>
        <v>0</v>
      </c>
      <c r="E115" s="48">
        <f>IF(F108&gt;0, E108/F108, 0)</f>
        <v>0</v>
      </c>
      <c r="F115" s="49" t="s">
        <v>21</v>
      </c>
    </row>
    <row r="116" spans="2:15" x14ac:dyDescent="0.35">
      <c r="B116" s="46" t="s">
        <v>989</v>
      </c>
      <c r="C116" s="48">
        <f>IF(F109&gt;0, C109/F109, 0)</f>
        <v>0</v>
      </c>
      <c r="D116" s="48">
        <f>IF(F109&gt;0, D109/F109, 0)</f>
        <v>0</v>
      </c>
      <c r="E116" s="48">
        <f>IF(F109&gt;0, E109/F109, 0)</f>
        <v>0</v>
      </c>
      <c r="F116" s="49" t="s">
        <v>21</v>
      </c>
    </row>
    <row r="117" spans="2:15" x14ac:dyDescent="0.35">
      <c r="B117" s="46" t="s">
        <v>19</v>
      </c>
      <c r="C117" s="48">
        <f>IF(F110&gt;0, C110/F110, 0)</f>
        <v>0</v>
      </c>
      <c r="D117" s="48">
        <f>IF(F110&gt;0, D110/F110, 0)</f>
        <v>0</v>
      </c>
      <c r="E117" s="48">
        <f>IF(F110&gt;0, E110/F110, 0)</f>
        <v>1</v>
      </c>
      <c r="F117" s="49" t="s">
        <v>21</v>
      </c>
    </row>
    <row r="122" spans="2:15" ht="18.5" x14ac:dyDescent="0.45">
      <c r="B122" s="42" t="s">
        <v>990</v>
      </c>
      <c r="J122" s="42" t="s">
        <v>991</v>
      </c>
    </row>
    <row r="123" spans="2:15" x14ac:dyDescent="0.35">
      <c r="B123" s="44" t="s">
        <v>6</v>
      </c>
      <c r="C123" s="297" t="s">
        <v>992</v>
      </c>
      <c r="D123" s="297"/>
      <c r="E123" s="44" t="s">
        <v>958</v>
      </c>
      <c r="F123" s="44" t="s">
        <v>966</v>
      </c>
      <c r="G123" s="297" t="s">
        <v>993</v>
      </c>
      <c r="H123" s="297"/>
      <c r="J123" s="44" t="s">
        <v>6</v>
      </c>
      <c r="K123" s="44" t="s">
        <v>981</v>
      </c>
      <c r="L123" s="44" t="s">
        <v>982</v>
      </c>
      <c r="M123" s="44" t="s">
        <v>983</v>
      </c>
      <c r="N123" s="44" t="s">
        <v>984</v>
      </c>
      <c r="O123" s="44" t="s">
        <v>18</v>
      </c>
    </row>
    <row r="124" spans="2:15" x14ac:dyDescent="0.35">
      <c r="B124" s="50" t="s">
        <v>974</v>
      </c>
      <c r="C124" s="298" t="s">
        <v>21</v>
      </c>
      <c r="D124" s="298"/>
      <c r="E124" s="47">
        <f>COUNTIF('Recommendations'!G:G,"Phase1")-COUNTIFS('Recommendations'!G:G,"Phase1",'Recommendations'!H:H,"Risk Accepted")-COUNTIFS('Recommendations'!G:G,"Phase1",'Recommendations'!H:H,"N/A")</f>
        <v>0</v>
      </c>
      <c r="F124" s="47">
        <f>COUNTIFS('Recommendations'!G:G,"Phase1",'Recommendations'!M:M,"Resolved")</f>
        <v>0</v>
      </c>
      <c r="G124" s="299">
        <f t="shared" ref="G124:G129" si="4">IF(E124&gt;0,F124/E124,0)</f>
        <v>0</v>
      </c>
      <c r="H124" s="299"/>
      <c r="J124" s="50" t="s">
        <v>974</v>
      </c>
      <c r="K124" s="47">
        <f>COUNTIFS('Recommendations'!G:G,"Phase1",'Recommendations'!E:E,"Must")</f>
        <v>0</v>
      </c>
      <c r="L124" s="47">
        <f>COUNTIFS('Recommendations'!G:G,"Phase1",'Recommendations'!E:E,"Should")</f>
        <v>0</v>
      </c>
      <c r="M124" s="47">
        <f>COUNTIFS('Recommendations'!G:G,"Phase1",'Recommendations'!E:E,"Could")</f>
        <v>0</v>
      </c>
      <c r="N124" s="47">
        <f>COUNTIFS('Recommendations'!G:G,"Phase1",'Recommendations'!E:E,"Won't")</f>
        <v>0</v>
      </c>
      <c r="O124" s="47">
        <f>COUNTIFS('Recommendations'!G:G,"Phase1",'Recommendations'!E:E,"Unassigned")</f>
        <v>0</v>
      </c>
    </row>
    <row r="125" spans="2:15" x14ac:dyDescent="0.35">
      <c r="B125" s="50" t="s">
        <v>975</v>
      </c>
      <c r="C125" s="298" t="s">
        <v>21</v>
      </c>
      <c r="D125" s="298"/>
      <c r="E125" s="47">
        <f>COUNTIF('Recommendations'!G:G,"Phase2")-COUNTIFS('Recommendations'!G:G,"Phase2",'Recommendations'!H:H,"Risk Accepted")-COUNTIFS('Recommendations'!G:G,"Phase2",'Recommendations'!H:H,"N/A")</f>
        <v>0</v>
      </c>
      <c r="F125" s="47">
        <f>COUNTIFS('Recommendations'!G:G,"Phase2",'Recommendations'!M:M,"Resolved")</f>
        <v>0</v>
      </c>
      <c r="G125" s="299">
        <f t="shared" si="4"/>
        <v>0</v>
      </c>
      <c r="H125" s="299"/>
      <c r="J125" s="50" t="s">
        <v>975</v>
      </c>
      <c r="K125" s="47">
        <f>COUNTIFS('Recommendations'!G:G,"Phase2",'Recommendations'!E:E,"Must")</f>
        <v>0</v>
      </c>
      <c r="L125" s="47">
        <f>COUNTIFS('Recommendations'!G:G,"Phase2",'Recommendations'!E:E,"Should")</f>
        <v>0</v>
      </c>
      <c r="M125" s="47">
        <f>COUNTIFS('Recommendations'!G:G,"Phase2",'Recommendations'!E:E,"Could")</f>
        <v>0</v>
      </c>
      <c r="N125" s="47">
        <f>COUNTIFS('Recommendations'!G:G,"Phase2",'Recommendations'!E:E,"Won't")</f>
        <v>0</v>
      </c>
      <c r="O125" s="47">
        <f>COUNTIFS('Recommendations'!G:G,"Phase2",'Recommendations'!E:E,"Unassigned")</f>
        <v>0</v>
      </c>
    </row>
    <row r="126" spans="2:15" x14ac:dyDescent="0.35">
      <c r="B126" s="50" t="s">
        <v>976</v>
      </c>
      <c r="C126" s="298" t="s">
        <v>21</v>
      </c>
      <c r="D126" s="298"/>
      <c r="E126" s="47">
        <f>COUNTIF('Recommendations'!G:G,"Phase3")-COUNTIFS('Recommendations'!G:G,"Phase3",'Recommendations'!H:H,"Risk Accepted")-COUNTIFS('Recommendations'!G:G,"Phase3",'Recommendations'!H:H,"N/A")</f>
        <v>0</v>
      </c>
      <c r="F126" s="47">
        <f>COUNTIFS('Recommendations'!G:G,"Phase3",'Recommendations'!M:M,"Resolved")</f>
        <v>0</v>
      </c>
      <c r="G126" s="299">
        <f t="shared" si="4"/>
        <v>0</v>
      </c>
      <c r="H126" s="299"/>
      <c r="J126" s="50" t="s">
        <v>976</v>
      </c>
      <c r="K126" s="47">
        <f>COUNTIFS('Recommendations'!G:G,"Phase3",'Recommendations'!E:E,"Must")</f>
        <v>0</v>
      </c>
      <c r="L126" s="47">
        <f>COUNTIFS('Recommendations'!G:G,"Phase3",'Recommendations'!E:E,"Should")</f>
        <v>0</v>
      </c>
      <c r="M126" s="47">
        <f>COUNTIFS('Recommendations'!G:G,"Phase3",'Recommendations'!E:E,"Could")</f>
        <v>0</v>
      </c>
      <c r="N126" s="47">
        <f>COUNTIFS('Recommendations'!G:G,"Phase3",'Recommendations'!E:E,"Won't")</f>
        <v>0</v>
      </c>
      <c r="O126" s="47">
        <f>COUNTIFS('Recommendations'!G:G,"Phase3",'Recommendations'!E:E,"Unassigned")</f>
        <v>0</v>
      </c>
    </row>
    <row r="127" spans="2:15" x14ac:dyDescent="0.35">
      <c r="B127" s="50" t="s">
        <v>977</v>
      </c>
      <c r="C127" s="298" t="s">
        <v>21</v>
      </c>
      <c r="D127" s="298"/>
      <c r="E127" s="47">
        <f>COUNTIF('Recommendations'!G:G,"Phase4")-COUNTIFS('Recommendations'!G:G,"Phase4",'Recommendations'!H:H,"Risk Accepted")-COUNTIFS('Recommendations'!G:G,"Phase4",'Recommendations'!H:H,"N/A")</f>
        <v>0</v>
      </c>
      <c r="F127" s="47">
        <f>COUNTIFS('Recommendations'!G:G,"Phase4",'Recommendations'!M:M,"Resolved")</f>
        <v>0</v>
      </c>
      <c r="G127" s="299">
        <f t="shared" si="4"/>
        <v>0</v>
      </c>
      <c r="H127" s="299"/>
      <c r="J127" s="50" t="s">
        <v>977</v>
      </c>
      <c r="K127" s="47">
        <f>COUNTIFS('Recommendations'!G:G,"Phase4",'Recommendations'!E:E,"Must")</f>
        <v>0</v>
      </c>
      <c r="L127" s="47">
        <f>COUNTIFS('Recommendations'!G:G,"Phase4",'Recommendations'!E:E,"Should")</f>
        <v>0</v>
      </c>
      <c r="M127" s="47">
        <f>COUNTIFS('Recommendations'!G:G,"Phase4",'Recommendations'!E:E,"Could")</f>
        <v>0</v>
      </c>
      <c r="N127" s="47">
        <f>COUNTIFS('Recommendations'!G:G,"Phase4",'Recommendations'!E:E,"Won't")</f>
        <v>0</v>
      </c>
      <c r="O127" s="47">
        <f>COUNTIFS('Recommendations'!G:G,"Phase4",'Recommendations'!E:E,"Unassigned")</f>
        <v>0</v>
      </c>
    </row>
    <row r="128" spans="2:15" x14ac:dyDescent="0.35">
      <c r="B128" s="50" t="s">
        <v>978</v>
      </c>
      <c r="C128" s="298" t="s">
        <v>21</v>
      </c>
      <c r="D128" s="298"/>
      <c r="E128" s="47">
        <f>COUNTIF('Recommendations'!G:G,"Phase5")-COUNTIFS('Recommendations'!G:G,"Phase5",'Recommendations'!H:H,"Risk Accepted")-COUNTIFS('Recommendations'!G:G,"Phase5",'Recommendations'!H:H,"N/A")</f>
        <v>0</v>
      </c>
      <c r="F128" s="47">
        <f>COUNTIFS('Recommendations'!G:G,"Phase5",'Recommendations'!M:M,"Resolved")</f>
        <v>0</v>
      </c>
      <c r="G128" s="299">
        <f t="shared" si="4"/>
        <v>0</v>
      </c>
      <c r="H128" s="299"/>
      <c r="J128" s="50" t="s">
        <v>978</v>
      </c>
      <c r="K128" s="47">
        <f>COUNTIFS('Recommendations'!G:G,"Phase5",'Recommendations'!E:E,"Must")</f>
        <v>0</v>
      </c>
      <c r="L128" s="47">
        <f>COUNTIFS('Recommendations'!G:G,"Phase5",'Recommendations'!E:E,"Should")</f>
        <v>0</v>
      </c>
      <c r="M128" s="47">
        <f>COUNTIFS('Recommendations'!G:G,"Phase5",'Recommendations'!E:E,"Could")</f>
        <v>0</v>
      </c>
      <c r="N128" s="47">
        <f>COUNTIFS('Recommendations'!G:G,"Phase5",'Recommendations'!E:E,"Won't")</f>
        <v>0</v>
      </c>
      <c r="O128" s="47">
        <f>COUNTIFS('Recommendations'!G:G,"Phase5",'Recommendations'!E:E,"Unassigned")</f>
        <v>0</v>
      </c>
    </row>
    <row r="129" spans="2:24" x14ac:dyDescent="0.35">
      <c r="B129" s="50" t="s">
        <v>20</v>
      </c>
      <c r="C129" s="298" t="s">
        <v>21</v>
      </c>
      <c r="D129" s="298"/>
      <c r="E129" s="47">
        <f>COUNTIF('Recommendations'!G:G,"Pending")-COUNTIFS('Recommendations'!G:G,"Pending",'Recommendations'!H:H,"Risk Accepted")-COUNTIFS('Recommendations'!G:G,"Pending",'Recommendations'!H:H,"N/A")</f>
        <v>177</v>
      </c>
      <c r="F129" s="47">
        <f>COUNTIFS('Recommendations'!G:G,"Pending",'Recommendations'!M:M,"Resolved")</f>
        <v>0</v>
      </c>
      <c r="G129" s="299">
        <f t="shared" si="4"/>
        <v>0</v>
      </c>
      <c r="H129" s="299"/>
      <c r="J129" s="50" t="s">
        <v>20</v>
      </c>
      <c r="K129" s="47">
        <f>COUNTIFS('Recommendations'!G:G,"Pending",'Recommendations'!E:E,"Must")</f>
        <v>0</v>
      </c>
      <c r="L129" s="47">
        <f>COUNTIFS('Recommendations'!G:G,"Pending",'Recommendations'!E:E,"Should")</f>
        <v>0</v>
      </c>
      <c r="M129" s="47">
        <f>COUNTIFS('Recommendations'!G:G,"Pending",'Recommendations'!E:E,"Could")</f>
        <v>0</v>
      </c>
      <c r="N129" s="47">
        <f>COUNTIFS('Recommendations'!G:G,"Pending",'Recommendations'!E:E,"Won't")</f>
        <v>0</v>
      </c>
      <c r="O129" s="47">
        <f>COUNTIFS('Recommendations'!G:G,"Pending",'Recommendations'!E:E,"Unassigned")</f>
        <v>177</v>
      </c>
    </row>
    <row r="136" spans="2:24" ht="21" x14ac:dyDescent="0.5">
      <c r="B136" s="42" t="s">
        <v>994</v>
      </c>
      <c r="P136" s="59" t="s">
        <v>995</v>
      </c>
    </row>
    <row r="138" spans="2:24" ht="60" customHeight="1" x14ac:dyDescent="0.35">
      <c r="B138" s="300" t="s">
        <v>996</v>
      </c>
      <c r="C138" s="293"/>
      <c r="D138" s="293"/>
      <c r="E138" s="293"/>
      <c r="F138" s="293"/>
      <c r="P138" s="300" t="s">
        <v>997</v>
      </c>
      <c r="Q138" s="293"/>
      <c r="R138" s="293"/>
      <c r="S138" s="293"/>
      <c r="T138" s="293"/>
      <c r="U138" s="293"/>
      <c r="V138" s="293"/>
      <c r="W138" s="293"/>
    </row>
    <row r="140" spans="2:24" ht="30" customHeight="1" x14ac:dyDescent="0.35">
      <c r="P140" s="60" t="s">
        <v>998</v>
      </c>
      <c r="Q140" s="61">
        <f>C16</f>
        <v>0</v>
      </c>
      <c r="R140" s="62"/>
      <c r="S140" s="61">
        <f>C86</f>
        <v>0</v>
      </c>
      <c r="T140" s="62"/>
      <c r="U140" s="61">
        <f>C87</f>
        <v>0</v>
      </c>
      <c r="V140" s="62"/>
      <c r="W140" s="61">
        <f>C88</f>
        <v>0</v>
      </c>
      <c r="X140" s="62"/>
    </row>
    <row r="141" spans="2:24" ht="35" customHeight="1" x14ac:dyDescent="0.35">
      <c r="P141" s="63" t="s">
        <v>999</v>
      </c>
      <c r="Q141" s="63" t="s">
        <v>1000</v>
      </c>
      <c r="R141" s="63" t="s">
        <v>1001</v>
      </c>
      <c r="S141" s="63" t="s">
        <v>1002</v>
      </c>
      <c r="T141" s="63" t="s">
        <v>1003</v>
      </c>
      <c r="U141" s="63" t="s">
        <v>1004</v>
      </c>
      <c r="V141" s="63" t="s">
        <v>1005</v>
      </c>
      <c r="W141" s="63" t="s">
        <v>1006</v>
      </c>
      <c r="X141" s="63" t="s">
        <v>1007</v>
      </c>
    </row>
    <row r="142" spans="2:24" x14ac:dyDescent="0.35">
      <c r="O142" s="64" t="s">
        <v>1008</v>
      </c>
      <c r="P142" s="65" t="s">
        <v>1009</v>
      </c>
      <c r="Q142" s="66">
        <v>0</v>
      </c>
      <c r="R142" s="67">
        <f>IF(Dashboard!F16&gt;0, Q142/Dashboard!F16, "")</f>
        <v>0</v>
      </c>
      <c r="S142" s="66">
        <v>0</v>
      </c>
      <c r="T142" s="67" t="str">
        <f>IF(AND(NOT(ISBLANK(S142)),Dashboard!F86&gt;0), S142/Dashboard!F86, "")</f>
        <v/>
      </c>
      <c r="U142" s="66">
        <v>0</v>
      </c>
      <c r="V142" s="67" t="str">
        <f>IF(AND(NOT(ISBLANK(U142)),Dashboard!F87&gt;0), U142/Dashboard!F87, "")</f>
        <v/>
      </c>
      <c r="W142" s="66">
        <v>0</v>
      </c>
      <c r="X142" s="67" t="str">
        <f>IF(AND(NOT(ISBLANK(W142)),Dashboard!F88&gt;0), W142/Dashboard!F88, "")</f>
        <v/>
      </c>
    </row>
    <row r="143" spans="2:24" x14ac:dyDescent="0.35">
      <c r="P143" s="58"/>
      <c r="Q143" s="45"/>
      <c r="R143" s="48" t="str">
        <f>IF(AND(NOT(ISBLANK(Q143)),Dashboard!F16&gt;0), Q143/Dashboard!F16, "")</f>
        <v/>
      </c>
      <c r="S143" s="45"/>
      <c r="T143" s="48" t="str">
        <f>IF(AND(NOT(ISBLANK(S143)),Dashboard!F86&gt;0), S143/Dashboard!F86, "")</f>
        <v/>
      </c>
      <c r="U143" s="45"/>
      <c r="V143" s="48" t="str">
        <f>IF(AND(NOT(ISBLANK(U143)),Dashboard!F87&gt;0), U143/Dashboard!F87, "")</f>
        <v/>
      </c>
      <c r="W143" s="45"/>
      <c r="X143" s="48" t="str">
        <f>IF(AND(NOT(ISBLANK(W143)),Dashboard!F88&gt;0), W143/Dashboard!F88, "")</f>
        <v/>
      </c>
    </row>
    <row r="144" spans="2:24" x14ac:dyDescent="0.35">
      <c r="P144" s="58"/>
      <c r="Q144" s="45"/>
      <c r="R144" s="48" t="str">
        <f>IF(AND(NOT(ISBLANK(Q144)),Dashboard!F16&gt;0), Q144/Dashboard!F16, "")</f>
        <v/>
      </c>
      <c r="S144" s="45"/>
      <c r="T144" s="48" t="str">
        <f>IF(AND(NOT(ISBLANK(S144)),Dashboard!F86&gt;0), S144/Dashboard!F86, "")</f>
        <v/>
      </c>
      <c r="U144" s="45"/>
      <c r="V144" s="48" t="str">
        <f>IF(AND(NOT(ISBLANK(U144)),Dashboard!F87&gt;0), U144/Dashboard!F87, "")</f>
        <v/>
      </c>
      <c r="W144" s="45"/>
      <c r="X144" s="48" t="str">
        <f>IF(AND(NOT(ISBLANK(W144)),Dashboard!F88&gt;0), W144/Dashboard!F88, "")</f>
        <v/>
      </c>
    </row>
    <row r="145" spans="16:24" x14ac:dyDescent="0.35">
      <c r="P145" s="58"/>
      <c r="Q145" s="45"/>
      <c r="R145" s="48" t="str">
        <f>IF(AND(NOT(ISBLANK(Q145)),Dashboard!F16&gt;0), Q145/Dashboard!F16, "")</f>
        <v/>
      </c>
      <c r="S145" s="45"/>
      <c r="T145" s="48" t="str">
        <f>IF(AND(NOT(ISBLANK(S145)),Dashboard!F86&gt;0), S145/Dashboard!F86, "")</f>
        <v/>
      </c>
      <c r="U145" s="45"/>
      <c r="V145" s="48" t="str">
        <f>IF(AND(NOT(ISBLANK(U145)),Dashboard!F87&gt;0), U145/Dashboard!F87, "")</f>
        <v/>
      </c>
      <c r="W145" s="45"/>
      <c r="X145" s="48" t="str">
        <f>IF(AND(NOT(ISBLANK(W145)),Dashboard!F88&gt;0), W145/Dashboard!F88, "")</f>
        <v/>
      </c>
    </row>
    <row r="146" spans="16:24" x14ac:dyDescent="0.35">
      <c r="P146" s="58"/>
      <c r="Q146" s="45"/>
      <c r="R146" s="48" t="str">
        <f>IF(AND(NOT(ISBLANK(Q146)),Dashboard!F16&gt;0), Q146/Dashboard!F16, "")</f>
        <v/>
      </c>
      <c r="S146" s="45"/>
      <c r="T146" s="48" t="str">
        <f>IF(AND(NOT(ISBLANK(S146)),Dashboard!F86&gt;0), S146/Dashboard!F86, "")</f>
        <v/>
      </c>
      <c r="U146" s="45"/>
      <c r="V146" s="48" t="str">
        <f>IF(AND(NOT(ISBLANK(U146)),Dashboard!F87&gt;0), U146/Dashboard!F87, "")</f>
        <v/>
      </c>
      <c r="W146" s="45"/>
      <c r="X146" s="48" t="str">
        <f>IF(AND(NOT(ISBLANK(W146)),Dashboard!F88&gt;0), W146/Dashboard!F88, "")</f>
        <v/>
      </c>
    </row>
    <row r="147" spans="16:24" x14ac:dyDescent="0.35">
      <c r="P147" s="58"/>
      <c r="Q147" s="45"/>
      <c r="R147" s="48" t="str">
        <f>IF(AND(NOT(ISBLANK(Q147)),Dashboard!F16&gt;0), Q147/Dashboard!F16, "")</f>
        <v/>
      </c>
      <c r="S147" s="45"/>
      <c r="T147" s="48" t="str">
        <f>IF(AND(NOT(ISBLANK(S147)),Dashboard!F86&gt;0), S147/Dashboard!F86, "")</f>
        <v/>
      </c>
      <c r="U147" s="45"/>
      <c r="V147" s="48" t="str">
        <f>IF(AND(NOT(ISBLANK(U147)),Dashboard!F87&gt;0), U147/Dashboard!F87, "")</f>
        <v/>
      </c>
      <c r="W147" s="45"/>
      <c r="X147" s="48" t="str">
        <f>IF(AND(NOT(ISBLANK(W147)),Dashboard!F88&gt;0), W147/Dashboard!F88, "")</f>
        <v/>
      </c>
    </row>
    <row r="148" spans="16:24" x14ac:dyDescent="0.35">
      <c r="P148" s="58"/>
      <c r="Q148" s="45"/>
      <c r="R148" s="48" t="str">
        <f>IF(AND(NOT(ISBLANK(Q148)),Dashboard!F16&gt;0), Q148/Dashboard!F16, "")</f>
        <v/>
      </c>
      <c r="S148" s="45"/>
      <c r="T148" s="48" t="str">
        <f>IF(AND(NOT(ISBLANK(S148)),Dashboard!F86&gt;0), S148/Dashboard!F86, "")</f>
        <v/>
      </c>
      <c r="U148" s="45"/>
      <c r="V148" s="48" t="str">
        <f>IF(AND(NOT(ISBLANK(U148)),Dashboard!F87&gt;0), U148/Dashboard!F87, "")</f>
        <v/>
      </c>
      <c r="W148" s="45"/>
      <c r="X148" s="48" t="str">
        <f>IF(AND(NOT(ISBLANK(W148)),Dashboard!F88&gt;0), W148/Dashboard!F88, "")</f>
        <v/>
      </c>
    </row>
    <row r="149" spans="16:24" x14ac:dyDescent="0.35">
      <c r="P149" s="58"/>
      <c r="Q149" s="45"/>
      <c r="R149" s="48" t="str">
        <f>IF(AND(NOT(ISBLANK(Q149)),Dashboard!F16&gt;0), Q149/Dashboard!F16, "")</f>
        <v/>
      </c>
      <c r="S149" s="45"/>
      <c r="T149" s="48" t="str">
        <f>IF(AND(NOT(ISBLANK(S149)),Dashboard!F86&gt;0), S149/Dashboard!F86, "")</f>
        <v/>
      </c>
      <c r="U149" s="45"/>
      <c r="V149" s="48" t="str">
        <f>IF(AND(NOT(ISBLANK(U149)),Dashboard!F87&gt;0), U149/Dashboard!F87, "")</f>
        <v/>
      </c>
      <c r="W149" s="45"/>
      <c r="X149" s="48" t="str">
        <f>IF(AND(NOT(ISBLANK(W149)),Dashboard!F88&gt;0), W149/Dashboard!F88, "")</f>
        <v/>
      </c>
    </row>
    <row r="150" spans="16:24" x14ac:dyDescent="0.35">
      <c r="P150" s="58"/>
      <c r="Q150" s="45"/>
      <c r="R150" s="48" t="str">
        <f>IF(AND(NOT(ISBLANK(Q150)),Dashboard!F16&gt;0), Q150/Dashboard!F16, "")</f>
        <v/>
      </c>
      <c r="S150" s="45"/>
      <c r="T150" s="48" t="str">
        <f>IF(AND(NOT(ISBLANK(S150)),Dashboard!F86&gt;0), S150/Dashboard!F86, "")</f>
        <v/>
      </c>
      <c r="U150" s="45"/>
      <c r="V150" s="48" t="str">
        <f>IF(AND(NOT(ISBLANK(U150)),Dashboard!F87&gt;0), U150/Dashboard!F87, "")</f>
        <v/>
      </c>
      <c r="W150" s="45"/>
      <c r="X150" s="48" t="str">
        <f>IF(AND(NOT(ISBLANK(W150)),Dashboard!F88&gt;0), W150/Dashboard!F88, "")</f>
        <v/>
      </c>
    </row>
    <row r="151" spans="16:24" x14ac:dyDescent="0.35">
      <c r="P151" s="58"/>
      <c r="Q151" s="45"/>
      <c r="R151" s="48" t="str">
        <f>IF(AND(NOT(ISBLANK(Q151)),Dashboard!F16&gt;0), Q151/Dashboard!F16, "")</f>
        <v/>
      </c>
      <c r="S151" s="45"/>
      <c r="T151" s="48" t="str">
        <f>IF(AND(NOT(ISBLANK(S151)),Dashboard!F86&gt;0), S151/Dashboard!F86, "")</f>
        <v/>
      </c>
      <c r="U151" s="45"/>
      <c r="V151" s="48" t="str">
        <f>IF(AND(NOT(ISBLANK(U151)),Dashboard!F87&gt;0), U151/Dashboard!F87, "")</f>
        <v/>
      </c>
      <c r="W151" s="45"/>
      <c r="X151" s="48" t="str">
        <f>IF(AND(NOT(ISBLANK(W151)),Dashboard!F88&gt;0), W151/Dashboard!F88, "")</f>
        <v/>
      </c>
    </row>
    <row r="152" spans="16:24" x14ac:dyDescent="0.35">
      <c r="P152" s="58"/>
      <c r="Q152" s="45"/>
      <c r="R152" s="48" t="str">
        <f>IF(AND(NOT(ISBLANK(Q152)),Dashboard!F16&gt;0), Q152/Dashboard!F16, "")</f>
        <v/>
      </c>
      <c r="S152" s="45"/>
      <c r="T152" s="48" t="str">
        <f>IF(AND(NOT(ISBLANK(S152)),Dashboard!F86&gt;0), S152/Dashboard!F86, "")</f>
        <v/>
      </c>
      <c r="U152" s="45"/>
      <c r="V152" s="48" t="str">
        <f>IF(AND(NOT(ISBLANK(U152)),Dashboard!F87&gt;0), U152/Dashboard!F87, "")</f>
        <v/>
      </c>
      <c r="W152" s="45"/>
      <c r="X152" s="48" t="str">
        <f>IF(AND(NOT(ISBLANK(W152)),Dashboard!F88&gt;0), W152/Dashboard!F88, "")</f>
        <v/>
      </c>
    </row>
    <row r="153" spans="16:24" x14ac:dyDescent="0.35">
      <c r="P153" s="58"/>
      <c r="Q153" s="45"/>
      <c r="R153" s="48" t="str">
        <f>IF(AND(NOT(ISBLANK(Q153)),Dashboard!F16&gt;0), Q153/Dashboard!F16, "")</f>
        <v/>
      </c>
      <c r="S153" s="45"/>
      <c r="T153" s="48" t="str">
        <f>IF(AND(NOT(ISBLANK(S153)),Dashboard!F86&gt;0), S153/Dashboard!F86, "")</f>
        <v/>
      </c>
      <c r="U153" s="45"/>
      <c r="V153" s="48" t="str">
        <f>IF(AND(NOT(ISBLANK(U153)),Dashboard!F87&gt;0), U153/Dashboard!F87, "")</f>
        <v/>
      </c>
      <c r="W153" s="45"/>
      <c r="X153" s="48" t="str">
        <f>IF(AND(NOT(ISBLANK(W153)),Dashboard!F88&gt;0), W153/Dashboard!F88, "")</f>
        <v/>
      </c>
    </row>
    <row r="154" spans="16:24" x14ac:dyDescent="0.35">
      <c r="P154" s="58"/>
      <c r="Q154" s="45"/>
      <c r="R154" s="48" t="str">
        <f>IF(AND(NOT(ISBLANK(Q154)),Dashboard!F16&gt;0), Q154/Dashboard!F16, "")</f>
        <v/>
      </c>
      <c r="S154" s="45"/>
      <c r="T154" s="48" t="str">
        <f>IF(AND(NOT(ISBLANK(S154)),Dashboard!F86&gt;0), S154/Dashboard!F86, "")</f>
        <v/>
      </c>
      <c r="U154" s="45"/>
      <c r="V154" s="48" t="str">
        <f>IF(AND(NOT(ISBLANK(U154)),Dashboard!F87&gt;0), U154/Dashboard!F87, "")</f>
        <v/>
      </c>
      <c r="W154" s="45"/>
      <c r="X154" s="48" t="str">
        <f>IF(AND(NOT(ISBLANK(W154)),Dashboard!F88&gt;0), W154/Dashboard!F88, "")</f>
        <v/>
      </c>
    </row>
    <row r="155" spans="16:24" x14ac:dyDescent="0.35">
      <c r="P155" s="58"/>
      <c r="Q155" s="45"/>
      <c r="R155" s="48" t="str">
        <f>IF(AND(NOT(ISBLANK(Q155)),Dashboard!F16&gt;0), Q155/Dashboard!F16, "")</f>
        <v/>
      </c>
      <c r="S155" s="45"/>
      <c r="T155" s="48" t="str">
        <f>IF(AND(NOT(ISBLANK(S155)),Dashboard!F86&gt;0), S155/Dashboard!F86, "")</f>
        <v/>
      </c>
      <c r="U155" s="45"/>
      <c r="V155" s="48" t="str">
        <f>IF(AND(NOT(ISBLANK(U155)),Dashboard!F87&gt;0), U155/Dashboard!F87, "")</f>
        <v/>
      </c>
      <c r="W155" s="45"/>
      <c r="X155" s="48" t="str">
        <f>IF(AND(NOT(ISBLANK(W155)),Dashboard!F88&gt;0), W155/Dashboard!F88, "")</f>
        <v/>
      </c>
    </row>
    <row r="156" spans="16:24" x14ac:dyDescent="0.35">
      <c r="P156" s="58"/>
      <c r="Q156" s="45"/>
      <c r="R156" s="48" t="str">
        <f>IF(AND(NOT(ISBLANK(Q156)),Dashboard!F16&gt;0), Q156/Dashboard!F16, "")</f>
        <v/>
      </c>
      <c r="S156" s="45"/>
      <c r="T156" s="48" t="str">
        <f>IF(AND(NOT(ISBLANK(S156)),Dashboard!F86&gt;0), S156/Dashboard!F86, "")</f>
        <v/>
      </c>
      <c r="U156" s="45"/>
      <c r="V156" s="48" t="str">
        <f>IF(AND(NOT(ISBLANK(U156)),Dashboard!F87&gt;0), U156/Dashboard!F87, "")</f>
        <v/>
      </c>
      <c r="W156" s="45"/>
      <c r="X156" s="48" t="str">
        <f>IF(AND(NOT(ISBLANK(W156)),Dashboard!F88&gt;0), W156/Dashboard!F88, "")</f>
        <v/>
      </c>
    </row>
    <row r="157" spans="16:24" x14ac:dyDescent="0.35">
      <c r="P157" s="58"/>
      <c r="Q157" s="45"/>
      <c r="R157" s="48" t="str">
        <f>IF(AND(NOT(ISBLANK(Q157)),Dashboard!F16&gt;0), Q157/Dashboard!F16, "")</f>
        <v/>
      </c>
      <c r="S157" s="45"/>
      <c r="T157" s="48" t="str">
        <f>IF(AND(NOT(ISBLANK(S157)),Dashboard!F86&gt;0), S157/Dashboard!F86, "")</f>
        <v/>
      </c>
      <c r="U157" s="45"/>
      <c r="V157" s="48" t="str">
        <f>IF(AND(NOT(ISBLANK(U157)),Dashboard!F87&gt;0), U157/Dashboard!F87, "")</f>
        <v/>
      </c>
      <c r="W157" s="45"/>
      <c r="X157" s="48" t="str">
        <f>IF(AND(NOT(ISBLANK(W157)),Dashboard!F88&gt;0), W157/Dashboard!F88, "")</f>
        <v/>
      </c>
    </row>
    <row r="158" spans="16:24" x14ac:dyDescent="0.35">
      <c r="P158" s="58"/>
      <c r="Q158" s="45"/>
      <c r="R158" s="48" t="str">
        <f>IF(AND(NOT(ISBLANK(Q158)),Dashboard!F16&gt;0), Q158/Dashboard!F16, "")</f>
        <v/>
      </c>
      <c r="S158" s="45"/>
      <c r="T158" s="48" t="str">
        <f>IF(AND(NOT(ISBLANK(S158)),Dashboard!F86&gt;0), S158/Dashboard!F86, "")</f>
        <v/>
      </c>
      <c r="U158" s="45"/>
      <c r="V158" s="48" t="str">
        <f>IF(AND(NOT(ISBLANK(U158)),Dashboard!F87&gt;0), U158/Dashboard!F87, "")</f>
        <v/>
      </c>
      <c r="W158" s="45"/>
      <c r="X158" s="48" t="str">
        <f>IF(AND(NOT(ISBLANK(W158)),Dashboard!F88&gt;0), W158/Dashboard!F88, "")</f>
        <v/>
      </c>
    </row>
    <row r="159" spans="16:24" x14ac:dyDescent="0.35">
      <c r="P159" s="58"/>
      <c r="Q159" s="45"/>
      <c r="R159" s="48" t="str">
        <f>IF(AND(NOT(ISBLANK(Q159)),Dashboard!F16&gt;0), Q159/Dashboard!F16, "")</f>
        <v/>
      </c>
      <c r="S159" s="45"/>
      <c r="T159" s="48" t="str">
        <f>IF(AND(NOT(ISBLANK(S159)),Dashboard!F86&gt;0), S159/Dashboard!F86, "")</f>
        <v/>
      </c>
      <c r="U159" s="45"/>
      <c r="V159" s="48" t="str">
        <f>IF(AND(NOT(ISBLANK(U159)),Dashboard!F87&gt;0), U159/Dashboard!F87, "")</f>
        <v/>
      </c>
      <c r="W159" s="45"/>
      <c r="X159" s="48" t="str">
        <f>IF(AND(NOT(ISBLANK(W159)),Dashboard!F88&gt;0), W159/Dashboard!F88, "")</f>
        <v/>
      </c>
    </row>
    <row r="160" spans="16:24" x14ac:dyDescent="0.35">
      <c r="P160" s="58"/>
      <c r="Q160" s="45"/>
      <c r="R160" s="48" t="str">
        <f>IF(AND(NOT(ISBLANK(Q160)),Dashboard!F16&gt;0), Q160/Dashboard!F16, "")</f>
        <v/>
      </c>
      <c r="S160" s="45"/>
      <c r="T160" s="48" t="str">
        <f>IF(AND(NOT(ISBLANK(S160)),Dashboard!F86&gt;0), S160/Dashboard!F86, "")</f>
        <v/>
      </c>
      <c r="U160" s="45"/>
      <c r="V160" s="48" t="str">
        <f>IF(AND(NOT(ISBLANK(U160)),Dashboard!F87&gt;0), U160/Dashboard!F87, "")</f>
        <v/>
      </c>
      <c r="W160" s="45"/>
      <c r="X160" s="48" t="str">
        <f>IF(AND(NOT(ISBLANK(W160)),Dashboard!F88&gt;0), W160/Dashboard!F88, "")</f>
        <v/>
      </c>
    </row>
    <row r="161" spans="16:24" x14ac:dyDescent="0.35">
      <c r="P161" s="58"/>
      <c r="Q161" s="45"/>
      <c r="R161" s="48" t="str">
        <f>IF(AND(NOT(ISBLANK(Q161)),Dashboard!F16&gt;0), Q161/Dashboard!F16, "")</f>
        <v/>
      </c>
      <c r="S161" s="45"/>
      <c r="T161" s="48" t="str">
        <f>IF(AND(NOT(ISBLANK(S161)),Dashboard!F86&gt;0), S161/Dashboard!F86, "")</f>
        <v/>
      </c>
      <c r="U161" s="45"/>
      <c r="V161" s="48" t="str">
        <f>IF(AND(NOT(ISBLANK(U161)),Dashboard!F87&gt;0), U161/Dashboard!F87, "")</f>
        <v/>
      </c>
      <c r="W161" s="45"/>
      <c r="X161" s="48" t="str">
        <f>IF(AND(NOT(ISBLANK(W161)),Dashboard!F88&gt;0), W161/Dashboard!F88, "")</f>
        <v/>
      </c>
    </row>
    <row r="162" spans="16:24" x14ac:dyDescent="0.35">
      <c r="P162" s="58"/>
      <c r="Q162" s="45"/>
      <c r="R162" s="48" t="str">
        <f>IF(AND(NOT(ISBLANK(Q162)),Dashboard!F16&gt;0), Q162/Dashboard!F16, "")</f>
        <v/>
      </c>
      <c r="S162" s="45"/>
      <c r="T162" s="48" t="str">
        <f>IF(AND(NOT(ISBLANK(S162)),Dashboard!F86&gt;0), S162/Dashboard!F86, "")</f>
        <v/>
      </c>
      <c r="U162" s="45"/>
      <c r="V162" s="48" t="str">
        <f>IF(AND(NOT(ISBLANK(U162)),Dashboard!F87&gt;0), U162/Dashboard!F87, "")</f>
        <v/>
      </c>
      <c r="W162" s="45"/>
      <c r="X162" s="48" t="str">
        <f>IF(AND(NOT(ISBLANK(W162)),Dashboard!F88&gt;0), W162/Dashboard!F88, "")</f>
        <v/>
      </c>
    </row>
    <row r="163" spans="16:24" x14ac:dyDescent="0.35">
      <c r="P163" s="58"/>
      <c r="Q163" s="45"/>
      <c r="R163" s="48" t="str">
        <f>IF(AND(NOT(ISBLANK(Q163)),Dashboard!F16&gt;0), Q163/Dashboard!F16, "")</f>
        <v/>
      </c>
      <c r="S163" s="45"/>
      <c r="T163" s="48" t="str">
        <f>IF(AND(NOT(ISBLANK(S163)),Dashboard!F86&gt;0), S163/Dashboard!F86, "")</f>
        <v/>
      </c>
      <c r="U163" s="45"/>
      <c r="V163" s="48" t="str">
        <f>IF(AND(NOT(ISBLANK(U163)),Dashboard!F87&gt;0), U163/Dashboard!F87, "")</f>
        <v/>
      </c>
      <c r="W163" s="45"/>
      <c r="X163" s="48" t="str">
        <f>IF(AND(NOT(ISBLANK(W163)),Dashboard!F88&gt;0), W163/Dashboard!F88, "")</f>
        <v/>
      </c>
    </row>
    <row r="164" spans="16:24" x14ac:dyDescent="0.35">
      <c r="P164" s="58"/>
      <c r="Q164" s="45"/>
      <c r="R164" s="48" t="str">
        <f>IF(AND(NOT(ISBLANK(Q164)),Dashboard!F16&gt;0), Q164/Dashboard!F16, "")</f>
        <v/>
      </c>
      <c r="S164" s="45"/>
      <c r="T164" s="48" t="str">
        <f>IF(AND(NOT(ISBLANK(S164)),Dashboard!F86&gt;0), S164/Dashboard!F86, "")</f>
        <v/>
      </c>
      <c r="U164" s="45"/>
      <c r="V164" s="48" t="str">
        <f>IF(AND(NOT(ISBLANK(U164)),Dashboard!F87&gt;0), U164/Dashboard!F87, "")</f>
        <v/>
      </c>
      <c r="W164" s="45"/>
      <c r="X164" s="48" t="str">
        <f>IF(AND(NOT(ISBLANK(W164)),Dashboard!F88&gt;0), W164/Dashboard!F88, "")</f>
        <v/>
      </c>
    </row>
    <row r="165" spans="16:24" x14ac:dyDescent="0.35">
      <c r="P165" s="58"/>
      <c r="Q165" s="45"/>
      <c r="R165" s="48" t="str">
        <f>IF(AND(NOT(ISBLANK(Q165)),Dashboard!F16&gt;0), Q165/Dashboard!F16, "")</f>
        <v/>
      </c>
      <c r="S165" s="45"/>
      <c r="T165" s="48" t="str">
        <f>IF(AND(NOT(ISBLANK(S165)),Dashboard!F86&gt;0), S165/Dashboard!F86, "")</f>
        <v/>
      </c>
      <c r="U165" s="45"/>
      <c r="V165" s="48" t="str">
        <f>IF(AND(NOT(ISBLANK(U165)),Dashboard!F87&gt;0), U165/Dashboard!F87, "")</f>
        <v/>
      </c>
      <c r="W165" s="45"/>
      <c r="X165" s="48" t="str">
        <f>IF(AND(NOT(ISBLANK(W165)),Dashboard!F88&gt;0), W165/Dashboard!F88, "")</f>
        <v/>
      </c>
    </row>
    <row r="166" spans="16:24" x14ac:dyDescent="0.35">
      <c r="P166" s="58"/>
      <c r="Q166" s="45"/>
      <c r="R166" s="48" t="str">
        <f>IF(AND(NOT(ISBLANK(Q166)),Dashboard!F16&gt;0), Q166/Dashboard!F16, "")</f>
        <v/>
      </c>
      <c r="S166" s="45"/>
      <c r="T166" s="48" t="str">
        <f>IF(AND(NOT(ISBLANK(S166)),Dashboard!F86&gt;0), S166/Dashboard!F86, "")</f>
        <v/>
      </c>
      <c r="U166" s="45"/>
      <c r="V166" s="48" t="str">
        <f>IF(AND(NOT(ISBLANK(U166)),Dashboard!F87&gt;0), U166/Dashboard!F87, "")</f>
        <v/>
      </c>
      <c r="W166" s="45"/>
      <c r="X166" s="48" t="str">
        <f>IF(AND(NOT(ISBLANK(W166)),Dashboard!F88&gt;0), W166/Dashboard!F88, "")</f>
        <v/>
      </c>
    </row>
    <row r="167" spans="16:24" x14ac:dyDescent="0.35">
      <c r="P167" s="58"/>
      <c r="Q167" s="45"/>
      <c r="R167" s="48" t="str">
        <f>IF(AND(NOT(ISBLANK(Q167)),Dashboard!F16&gt;0), Q167/Dashboard!F16, "")</f>
        <v/>
      </c>
      <c r="S167" s="45"/>
      <c r="T167" s="48" t="str">
        <f>IF(AND(NOT(ISBLANK(S167)),Dashboard!F86&gt;0), S167/Dashboard!F86, "")</f>
        <v/>
      </c>
      <c r="U167" s="45"/>
      <c r="V167" s="48" t="str">
        <f>IF(AND(NOT(ISBLANK(U167)),Dashboard!F87&gt;0), U167/Dashboard!F87, "")</f>
        <v/>
      </c>
      <c r="W167" s="45"/>
      <c r="X167" s="48" t="str">
        <f>IF(AND(NOT(ISBLANK(W167)),Dashboard!F88&gt;0), W167/Dashboard!F88, "")</f>
        <v/>
      </c>
    </row>
    <row r="168" spans="16:24" x14ac:dyDescent="0.35">
      <c r="P168" s="58"/>
      <c r="Q168" s="45"/>
      <c r="R168" s="48" t="str">
        <f>IF(AND(NOT(ISBLANK(Q168)),Dashboard!F16&gt;0), Q168/Dashboard!F16, "")</f>
        <v/>
      </c>
      <c r="S168" s="45"/>
      <c r="T168" s="48" t="str">
        <f>IF(AND(NOT(ISBLANK(S168)),Dashboard!F86&gt;0), S168/Dashboard!F86, "")</f>
        <v/>
      </c>
      <c r="U168" s="45"/>
      <c r="V168" s="48" t="str">
        <f>IF(AND(NOT(ISBLANK(U168)),Dashboard!F87&gt;0), U168/Dashboard!F87, "")</f>
        <v/>
      </c>
      <c r="W168" s="45"/>
      <c r="X168" s="48" t="str">
        <f>IF(AND(NOT(ISBLANK(W168)),Dashboard!F88&gt;0), W168/Dashboard!F88, "")</f>
        <v/>
      </c>
    </row>
    <row r="169" spans="16:24" x14ac:dyDescent="0.35">
      <c r="P169" s="58"/>
      <c r="Q169" s="45"/>
      <c r="R169" s="48" t="str">
        <f>IF(AND(NOT(ISBLANK(Q169)),Dashboard!F16&gt;0), Q169/Dashboard!F16, "")</f>
        <v/>
      </c>
      <c r="S169" s="45"/>
      <c r="T169" s="48" t="str">
        <f>IF(AND(NOT(ISBLANK(S169)),Dashboard!F86&gt;0), S169/Dashboard!F86, "")</f>
        <v/>
      </c>
      <c r="U169" s="45"/>
      <c r="V169" s="48" t="str">
        <f>IF(AND(NOT(ISBLANK(U169)),Dashboard!F87&gt;0), U169/Dashboard!F87, "")</f>
        <v/>
      </c>
      <c r="W169" s="45"/>
      <c r="X169" s="48" t="str">
        <f>IF(AND(NOT(ISBLANK(W169)),Dashboard!F88&gt;0), W169/Dashboard!F88, "")</f>
        <v/>
      </c>
    </row>
    <row r="170" spans="16:24" x14ac:dyDescent="0.35">
      <c r="P170" s="58"/>
      <c r="Q170" s="45"/>
      <c r="R170" s="48" t="str">
        <f>IF(AND(NOT(ISBLANK(Q170)),Dashboard!F16&gt;0), Q170/Dashboard!F16, "")</f>
        <v/>
      </c>
      <c r="S170" s="45"/>
      <c r="T170" s="48" t="str">
        <f>IF(AND(NOT(ISBLANK(S170)),Dashboard!F86&gt;0), S170/Dashboard!F86, "")</f>
        <v/>
      </c>
      <c r="U170" s="45"/>
      <c r="V170" s="48" t="str">
        <f>IF(AND(NOT(ISBLANK(U170)),Dashboard!F87&gt;0), U170/Dashboard!F87, "")</f>
        <v/>
      </c>
      <c r="W170" s="45"/>
      <c r="X170" s="48" t="str">
        <f>IF(AND(NOT(ISBLANK(W170)),Dashboard!F88&gt;0), W170/Dashboard!F88, "")</f>
        <v/>
      </c>
    </row>
    <row r="171" spans="16:24" x14ac:dyDescent="0.35">
      <c r="P171" s="58"/>
      <c r="Q171" s="45"/>
      <c r="R171" s="48" t="str">
        <f>IF(AND(NOT(ISBLANK(Q171)),Dashboard!F16&gt;0), Q171/Dashboard!F16, "")</f>
        <v/>
      </c>
      <c r="S171" s="45"/>
      <c r="T171" s="48" t="str">
        <f>IF(AND(NOT(ISBLANK(S171)),Dashboard!F86&gt;0), S171/Dashboard!F86, "")</f>
        <v/>
      </c>
      <c r="U171" s="45"/>
      <c r="V171" s="48" t="str">
        <f>IF(AND(NOT(ISBLANK(U171)),Dashboard!F87&gt;0), U171/Dashboard!F87, "")</f>
        <v/>
      </c>
      <c r="W171" s="45"/>
      <c r="X171" s="48" t="str">
        <f>IF(AND(NOT(ISBLANK(W171)),Dashboard!F88&gt;0), W171/Dashboard!F88, "")</f>
        <v/>
      </c>
    </row>
    <row r="172" spans="16:24" x14ac:dyDescent="0.35">
      <c r="P172" s="58"/>
      <c r="Q172" s="45"/>
      <c r="R172" s="48" t="str">
        <f>IF(AND(NOT(ISBLANK(Q172)),Dashboard!F16&gt;0), Q172/Dashboard!F16, "")</f>
        <v/>
      </c>
      <c r="S172" s="45"/>
      <c r="T172" s="48" t="str">
        <f>IF(AND(NOT(ISBLANK(S172)),Dashboard!F86&gt;0), S172/Dashboard!F86, "")</f>
        <v/>
      </c>
      <c r="U172" s="45"/>
      <c r="V172" s="48" t="str">
        <f>IF(AND(NOT(ISBLANK(U172)),Dashboard!F87&gt;0), U172/Dashboard!F87, "")</f>
        <v/>
      </c>
      <c r="W172" s="45"/>
      <c r="X172" s="48" t="str">
        <f>IF(AND(NOT(ISBLANK(W172)),Dashboard!F88&gt;0), W172/Dashboard!F88, "")</f>
        <v/>
      </c>
    </row>
    <row r="177" spans="2:22" ht="21" x14ac:dyDescent="0.5">
      <c r="B177" s="42" t="s">
        <v>1010</v>
      </c>
      <c r="P177" s="59" t="s">
        <v>1011</v>
      </c>
    </row>
    <row r="179" spans="2:22" ht="45" customHeight="1" x14ac:dyDescent="0.35">
      <c r="B179" s="300" t="s">
        <v>1012</v>
      </c>
      <c r="C179" s="293"/>
      <c r="D179" s="293"/>
      <c r="E179" s="293"/>
      <c r="F179" s="293"/>
      <c r="P179" s="300" t="s">
        <v>1013</v>
      </c>
      <c r="Q179" s="293"/>
      <c r="R179" s="293"/>
      <c r="S179" s="293"/>
      <c r="T179" s="293"/>
      <c r="U179" s="293"/>
    </row>
    <row r="180" spans="2:22" ht="35" customHeight="1" x14ac:dyDescent="0.35">
      <c r="P180" s="297" t="s">
        <v>1014</v>
      </c>
      <c r="Q180" s="297"/>
      <c r="R180" s="297" t="s">
        <v>1015</v>
      </c>
      <c r="S180" s="297"/>
      <c r="T180" s="297"/>
    </row>
    <row r="181" spans="2:22" ht="30" customHeight="1" x14ac:dyDescent="0.35">
      <c r="P181" s="301">
        <v>0</v>
      </c>
      <c r="Q181" s="302"/>
      <c r="R181" s="303" t="s">
        <v>1016</v>
      </c>
      <c r="S181" s="304"/>
      <c r="T181" s="304"/>
    </row>
    <row r="184" spans="2:22" ht="25" customHeight="1" x14ac:dyDescent="0.35">
      <c r="P184" s="68" t="s">
        <v>999</v>
      </c>
      <c r="Q184" s="68" t="s">
        <v>1017</v>
      </c>
      <c r="R184" s="68" t="s">
        <v>1018</v>
      </c>
      <c r="S184" s="305" t="s">
        <v>8</v>
      </c>
      <c r="T184" s="305"/>
      <c r="U184" s="305"/>
      <c r="V184" s="293"/>
    </row>
    <row r="185" spans="2:22" ht="20" customHeight="1" x14ac:dyDescent="0.35">
      <c r="P185" s="70"/>
      <c r="Q185" s="71"/>
      <c r="R185" s="72" t="str">
        <f>IF(AND(NOT(ISBLANK(Q185)), Dashboard!$P181&gt;0), Q185/Dashboard!$P181, "")</f>
        <v/>
      </c>
      <c r="S185" s="306"/>
      <c r="T185" s="307"/>
      <c r="U185" s="307"/>
      <c r="V185" s="307"/>
    </row>
    <row r="186" spans="2:22" ht="20" customHeight="1" x14ac:dyDescent="0.35">
      <c r="P186" s="70"/>
      <c r="Q186" s="71"/>
      <c r="R186" s="72" t="str">
        <f>IF(AND(NOT(ISBLANK(Q186)), Dashboard!$P181&gt;0), Q186/Dashboard!$P181, "")</f>
        <v/>
      </c>
      <c r="S186" s="306"/>
      <c r="T186" s="307"/>
      <c r="U186" s="307"/>
      <c r="V186" s="307"/>
    </row>
    <row r="187" spans="2:22" ht="20" customHeight="1" x14ac:dyDescent="0.35">
      <c r="P187" s="70"/>
      <c r="Q187" s="71"/>
      <c r="R187" s="72" t="str">
        <f>IF(AND(NOT(ISBLANK(Q187)), Dashboard!$P181&gt;0), Q187/Dashboard!$P181, "")</f>
        <v/>
      </c>
      <c r="S187" s="306"/>
      <c r="T187" s="307"/>
      <c r="U187" s="307"/>
      <c r="V187" s="307"/>
    </row>
    <row r="188" spans="2:22" ht="20" customHeight="1" x14ac:dyDescent="0.35">
      <c r="P188" s="70"/>
      <c r="Q188" s="71"/>
      <c r="R188" s="72" t="str">
        <f>IF(AND(NOT(ISBLANK(Q188)), Dashboard!$P181&gt;0), Q188/Dashboard!$P181, "")</f>
        <v/>
      </c>
      <c r="S188" s="306"/>
      <c r="T188" s="307"/>
      <c r="U188" s="307"/>
      <c r="V188" s="307"/>
    </row>
    <row r="189" spans="2:22" ht="20" customHeight="1" x14ac:dyDescent="0.35">
      <c r="P189" s="70"/>
      <c r="Q189" s="71"/>
      <c r="R189" s="72" t="str">
        <f>IF(AND(NOT(ISBLANK(Q189)), Dashboard!$P181&gt;0), Q189/Dashboard!$P181, "")</f>
        <v/>
      </c>
      <c r="S189" s="306"/>
      <c r="T189" s="307"/>
      <c r="U189" s="307"/>
      <c r="V189" s="307"/>
    </row>
    <row r="190" spans="2:22" ht="20" customHeight="1" x14ac:dyDescent="0.35">
      <c r="P190" s="70"/>
      <c r="Q190" s="71"/>
      <c r="R190" s="72" t="str">
        <f>IF(AND(NOT(ISBLANK(Q190)), Dashboard!$P181&gt;0), Q190/Dashboard!$P181, "")</f>
        <v/>
      </c>
      <c r="S190" s="306"/>
      <c r="T190" s="307"/>
      <c r="U190" s="307"/>
      <c r="V190" s="307"/>
    </row>
    <row r="191" spans="2:22" ht="20" customHeight="1" x14ac:dyDescent="0.35">
      <c r="P191" s="70"/>
      <c r="Q191" s="71"/>
      <c r="R191" s="72" t="str">
        <f>IF(AND(NOT(ISBLANK(Q191)), Dashboard!$P181&gt;0), Q191/Dashboard!$P181, "")</f>
        <v/>
      </c>
      <c r="S191" s="306"/>
      <c r="T191" s="307"/>
      <c r="U191" s="307"/>
      <c r="V191" s="307"/>
    </row>
    <row r="192" spans="2:22" ht="20" customHeight="1" x14ac:dyDescent="0.35">
      <c r="P192" s="70"/>
      <c r="Q192" s="71"/>
      <c r="R192" s="72" t="str">
        <f>IF(AND(NOT(ISBLANK(Q192)), Dashboard!$P181&gt;0), Q192/Dashboard!$P181, "")</f>
        <v/>
      </c>
      <c r="S192" s="306"/>
      <c r="T192" s="307"/>
      <c r="U192" s="307"/>
      <c r="V192" s="307"/>
    </row>
    <row r="193" spans="2:22" ht="20" customHeight="1" x14ac:dyDescent="0.35">
      <c r="P193" s="70"/>
      <c r="Q193" s="71"/>
      <c r="R193" s="72" t="str">
        <f>IF(AND(NOT(ISBLANK(Q193)), Dashboard!$P181&gt;0), Q193/Dashboard!$P181, "")</f>
        <v/>
      </c>
      <c r="S193" s="306"/>
      <c r="T193" s="307"/>
      <c r="U193" s="307"/>
      <c r="V193" s="307"/>
    </row>
    <row r="194" spans="2:22" ht="20" customHeight="1" x14ac:dyDescent="0.35">
      <c r="P194" s="70"/>
      <c r="Q194" s="71"/>
      <c r="R194" s="72" t="str">
        <f>IF(AND(NOT(ISBLANK(Q194)), Dashboard!$P181&gt;0), Q194/Dashboard!$P181, "")</f>
        <v/>
      </c>
      <c r="S194" s="306"/>
      <c r="T194" s="307"/>
      <c r="U194" s="307"/>
      <c r="V194" s="307"/>
    </row>
    <row r="195" spans="2:22" ht="20" customHeight="1" x14ac:dyDescent="0.35">
      <c r="P195" s="70"/>
      <c r="Q195" s="71"/>
      <c r="R195" s="72" t="str">
        <f>IF(AND(NOT(ISBLANK(Q195)), Dashboard!$P181&gt;0), Q195/Dashboard!$P181, "")</f>
        <v/>
      </c>
      <c r="S195" s="306"/>
      <c r="T195" s="307"/>
      <c r="U195" s="307"/>
      <c r="V195" s="307"/>
    </row>
    <row r="196" spans="2:22" ht="20" customHeight="1" x14ac:dyDescent="0.35">
      <c r="P196" s="70"/>
      <c r="Q196" s="71"/>
      <c r="R196" s="72" t="str">
        <f>IF(AND(NOT(ISBLANK(Q196)), Dashboard!$P181&gt;0), Q196/Dashboard!$P181, "")</f>
        <v/>
      </c>
      <c r="S196" s="306"/>
      <c r="T196" s="307"/>
      <c r="U196" s="307"/>
      <c r="V196" s="307"/>
    </row>
    <row r="197" spans="2:22" ht="20" customHeight="1" x14ac:dyDescent="0.35">
      <c r="P197" s="70"/>
      <c r="Q197" s="71"/>
      <c r="R197" s="72" t="str">
        <f>IF(AND(NOT(ISBLANK(Q197)), Dashboard!$P181&gt;0), Q197/Dashboard!$P181, "")</f>
        <v/>
      </c>
      <c r="S197" s="306"/>
      <c r="T197" s="307"/>
      <c r="U197" s="307"/>
      <c r="V197" s="307"/>
    </row>
    <row r="198" spans="2:22" ht="20" customHeight="1" x14ac:dyDescent="0.35">
      <c r="P198" s="70"/>
      <c r="Q198" s="71"/>
      <c r="R198" s="72" t="str">
        <f>IF(AND(NOT(ISBLANK(Q198)), Dashboard!$P181&gt;0), Q198/Dashboard!$P181, "")</f>
        <v/>
      </c>
      <c r="S198" s="306"/>
      <c r="T198" s="307"/>
      <c r="U198" s="307"/>
      <c r="V198" s="307"/>
    </row>
    <row r="199" spans="2:22" ht="20" customHeight="1" x14ac:dyDescent="0.35">
      <c r="P199" s="70"/>
      <c r="Q199" s="71"/>
      <c r="R199" s="72" t="str">
        <f>IF(AND(NOT(ISBLANK(Q199)), Dashboard!$P181&gt;0), Q199/Dashboard!$P181, "")</f>
        <v/>
      </c>
      <c r="S199" s="306"/>
      <c r="T199" s="307"/>
      <c r="U199" s="307"/>
      <c r="V199" s="307"/>
    </row>
    <row r="200" spans="2:22" ht="20" customHeight="1" x14ac:dyDescent="0.35">
      <c r="P200" s="70"/>
      <c r="Q200" s="71"/>
      <c r="R200" s="72" t="str">
        <f>IF(AND(NOT(ISBLANK(Q200)), Dashboard!$P181&gt;0), Q200/Dashboard!$P181, "")</f>
        <v/>
      </c>
      <c r="S200" s="306"/>
      <c r="T200" s="307"/>
      <c r="U200" s="307"/>
      <c r="V200" s="307"/>
    </row>
    <row r="201" spans="2:22" ht="20" customHeight="1" x14ac:dyDescent="0.35">
      <c r="P201" s="70"/>
      <c r="Q201" s="71"/>
      <c r="R201" s="72" t="str">
        <f>IF(AND(NOT(ISBLANK(Q201)), Dashboard!$P181&gt;0), Q201/Dashboard!$P181, "")</f>
        <v/>
      </c>
      <c r="S201" s="306"/>
      <c r="T201" s="307"/>
      <c r="U201" s="307"/>
      <c r="V201" s="307"/>
    </row>
    <row r="202" spans="2:22" ht="20" customHeight="1" x14ac:dyDescent="0.35">
      <c r="P202" s="70"/>
      <c r="Q202" s="71"/>
      <c r="R202" s="72" t="str">
        <f>IF(AND(NOT(ISBLANK(Q202)), Dashboard!$P181&gt;0), Q202/Dashboard!$P181, "")</f>
        <v/>
      </c>
      <c r="S202" s="306"/>
      <c r="T202" s="307"/>
      <c r="U202" s="307"/>
      <c r="V202" s="307"/>
    </row>
    <row r="203" spans="2:22" ht="20" customHeight="1" x14ac:dyDescent="0.35">
      <c r="P203" s="70"/>
      <c r="Q203" s="71"/>
      <c r="R203" s="72" t="str">
        <f>IF(AND(NOT(ISBLANK(Q203)), Dashboard!$P181&gt;0), Q203/Dashboard!$P181, "")</f>
        <v/>
      </c>
      <c r="S203" s="306"/>
      <c r="T203" s="307"/>
      <c r="U203" s="307"/>
      <c r="V203" s="307"/>
    </row>
    <row r="204" spans="2:22" ht="20" customHeight="1" x14ac:dyDescent="0.35">
      <c r="P204" s="70"/>
      <c r="Q204" s="71"/>
      <c r="R204" s="72" t="str">
        <f>IF(AND(NOT(ISBLANK(Q204)), Dashboard!$P181&gt;0), Q204/Dashboard!$P181, "")</f>
        <v/>
      </c>
      <c r="S204" s="306"/>
      <c r="T204" s="307"/>
      <c r="U204" s="307"/>
      <c r="V204" s="307"/>
    </row>
    <row r="208" spans="2:22" ht="32" customHeight="1" x14ac:dyDescent="0.35">
      <c r="B208" s="291" t="s">
        <v>865</v>
      </c>
      <c r="C208" s="291"/>
      <c r="D208" s="291"/>
      <c r="E208" s="291"/>
      <c r="F208" s="291"/>
      <c r="G208" s="291"/>
      <c r="H208" s="291"/>
      <c r="I208" s="291"/>
    </row>
  </sheetData>
  <mergeCells count="55">
    <mergeCell ref="B208:I208"/>
    <mergeCell ref="S200:V200"/>
    <mergeCell ref="S201:V201"/>
    <mergeCell ref="S202:V202"/>
    <mergeCell ref="S203:V203"/>
    <mergeCell ref="S204:V204"/>
    <mergeCell ref="S195:V195"/>
    <mergeCell ref="S196:V196"/>
    <mergeCell ref="S197:V197"/>
    <mergeCell ref="S198:V198"/>
    <mergeCell ref="S199:V199"/>
    <mergeCell ref="S190:V190"/>
    <mergeCell ref="S191:V191"/>
    <mergeCell ref="S192:V192"/>
    <mergeCell ref="S193:V193"/>
    <mergeCell ref="S194:V194"/>
    <mergeCell ref="S185:V185"/>
    <mergeCell ref="S186:V186"/>
    <mergeCell ref="S187:V187"/>
    <mergeCell ref="S188:V188"/>
    <mergeCell ref="S189:V189"/>
    <mergeCell ref="P180:Q180"/>
    <mergeCell ref="R180:T180"/>
    <mergeCell ref="P181:Q181"/>
    <mergeCell ref="R181:T181"/>
    <mergeCell ref="S184:V184"/>
    <mergeCell ref="C129:D129"/>
    <mergeCell ref="G129:H129"/>
    <mergeCell ref="B138:F138"/>
    <mergeCell ref="P138:W138"/>
    <mergeCell ref="B179:F179"/>
    <mergeCell ref="P179:U179"/>
    <mergeCell ref="C126:D126"/>
    <mergeCell ref="G126:H126"/>
    <mergeCell ref="C127:D127"/>
    <mergeCell ref="G127:H127"/>
    <mergeCell ref="C128:D128"/>
    <mergeCell ref="G128:H128"/>
    <mergeCell ref="C123:D123"/>
    <mergeCell ref="G123:H123"/>
    <mergeCell ref="C124:D124"/>
    <mergeCell ref="G124:H124"/>
    <mergeCell ref="C125:D125"/>
    <mergeCell ref="G125:H125"/>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4:H129">
    <cfRule type="expression" dxfId="80" priority="4">
      <formula>$G124&gt;=0.8</formula>
    </cfRule>
    <cfRule type="expression" dxfId="79" priority="5">
      <formula>AND($G124&gt;=0.5,$G124&lt;0.8)</formula>
    </cfRule>
    <cfRule type="expression" dxfId="78" priority="6">
      <formula>$G124&lt;0.5</formula>
    </cfRule>
  </conditionalFormatting>
  <conditionalFormatting sqref="K124:K129">
    <cfRule type="cellIs" dxfId="77" priority="7" operator="greaterThan">
      <formula>0</formula>
    </cfRule>
  </conditionalFormatting>
  <conditionalFormatting sqref="L124:L129">
    <cfRule type="cellIs" dxfId="76" priority="8" operator="greaterThan">
      <formula>0</formula>
    </cfRule>
  </conditionalFormatting>
  <conditionalFormatting sqref="M124:M129">
    <cfRule type="cellIs" dxfId="75" priority="9" operator="greaterThan">
      <formula>0</formula>
    </cfRule>
  </conditionalFormatting>
  <conditionalFormatting sqref="N124:N129">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3" xr:uid="{00000000-0002-0000-0100-000000000000}">
      <formula1>0</formula1>
      <formula2>C16</formula2>
    </dataValidation>
    <dataValidation type="whole" allowBlank="1" showErrorMessage="1" errorTitle="Invalid count" error="Value must be between 0 and the current implemented total." sqref="S143" xr:uid="{00000000-0002-0000-0100-000001000000}">
      <formula1>0</formula1>
      <formula2>C86</formula2>
    </dataValidation>
    <dataValidation type="whole" allowBlank="1" showErrorMessage="1" errorTitle="Invalid count" error="Value must be between 0 and the current implemented total." sqref="U143" xr:uid="{00000000-0002-0000-0100-000002000000}">
      <formula1>0</formula1>
      <formula2>C87</formula2>
    </dataValidation>
    <dataValidation type="whole" allowBlank="1" showErrorMessage="1" errorTitle="Invalid count" error="Value must be between 0 and the current implemented total." sqref="W143" xr:uid="{00000000-0002-0000-0100-000003000000}">
      <formula1>0</formula1>
      <formula2>C88</formula2>
    </dataValidation>
    <dataValidation type="whole" allowBlank="1" showErrorMessage="1" errorTitle="Invalid overall count" error="Overall count must be between 0 and the current implemented total." sqref="Q144" xr:uid="{00000000-0002-0000-0100-000004000000}">
      <formula1>0</formula1>
      <formula2>C16</formula2>
    </dataValidation>
    <dataValidation type="whole" allowBlank="1" showErrorMessage="1" errorTitle="Invalid count" error="Value must be between 0 and the current implemented total." sqref="S144" xr:uid="{00000000-0002-0000-0100-000005000000}">
      <formula1>0</formula1>
      <formula2>C86</formula2>
    </dataValidation>
    <dataValidation type="whole" allowBlank="1" showErrorMessage="1" errorTitle="Invalid count" error="Value must be between 0 and the current implemented total." sqref="U144" xr:uid="{00000000-0002-0000-0100-000006000000}">
      <formula1>0</formula1>
      <formula2>C87</formula2>
    </dataValidation>
    <dataValidation type="whole" allowBlank="1" showErrorMessage="1" errorTitle="Invalid count" error="Value must be between 0 and the current implemented total." sqref="W144" xr:uid="{00000000-0002-0000-0100-000007000000}">
      <formula1>0</formula1>
      <formula2>C88</formula2>
    </dataValidation>
    <dataValidation type="whole" allowBlank="1" showErrorMessage="1" errorTitle="Invalid overall count" error="Overall count must be between 0 and the current implemented total." sqref="Q145" xr:uid="{00000000-0002-0000-0100-000008000000}">
      <formula1>0</formula1>
      <formula2>C16</formula2>
    </dataValidation>
    <dataValidation type="whole" allowBlank="1" showErrorMessage="1" errorTitle="Invalid count" error="Value must be between 0 and the current implemented total." sqref="S145" xr:uid="{00000000-0002-0000-0100-000009000000}">
      <formula1>0</formula1>
      <formula2>C86</formula2>
    </dataValidation>
    <dataValidation type="whole" allowBlank="1" showErrorMessage="1" errorTitle="Invalid count" error="Value must be between 0 and the current implemented total." sqref="U145" xr:uid="{00000000-0002-0000-0100-00000A000000}">
      <formula1>0</formula1>
      <formula2>C87</formula2>
    </dataValidation>
    <dataValidation type="whole" allowBlank="1" showErrorMessage="1" errorTitle="Invalid count" error="Value must be between 0 and the current implemented total." sqref="W145" xr:uid="{00000000-0002-0000-0100-00000B000000}">
      <formula1>0</formula1>
      <formula2>C88</formula2>
    </dataValidation>
    <dataValidation type="whole" allowBlank="1" showErrorMessage="1" errorTitle="Invalid overall count" error="Overall count must be between 0 and the current implemented total." sqref="Q146" xr:uid="{00000000-0002-0000-0100-00000C000000}">
      <formula1>0</formula1>
      <formula2>C16</formula2>
    </dataValidation>
    <dataValidation type="whole" allowBlank="1" showErrorMessage="1" errorTitle="Invalid count" error="Value must be between 0 and the current implemented total." sqref="S146" xr:uid="{00000000-0002-0000-0100-00000D000000}">
      <formula1>0</formula1>
      <formula2>C86</formula2>
    </dataValidation>
    <dataValidation type="whole" allowBlank="1" showErrorMessage="1" errorTitle="Invalid count" error="Value must be between 0 and the current implemented total." sqref="U146" xr:uid="{00000000-0002-0000-0100-00000E000000}">
      <formula1>0</formula1>
      <formula2>C87</formula2>
    </dataValidation>
    <dataValidation type="whole" allowBlank="1" showErrorMessage="1" errorTitle="Invalid count" error="Value must be between 0 and the current implemented total." sqref="W146" xr:uid="{00000000-0002-0000-0100-00000F000000}">
      <formula1>0</formula1>
      <formula2>C88</formula2>
    </dataValidation>
    <dataValidation type="whole" allowBlank="1" showErrorMessage="1" errorTitle="Invalid overall count" error="Overall count must be between 0 and the current implemented total." sqref="Q147" xr:uid="{00000000-0002-0000-0100-000010000000}">
      <formula1>0</formula1>
      <formula2>C16</formula2>
    </dataValidation>
    <dataValidation type="whole" allowBlank="1" showErrorMessage="1" errorTitle="Invalid count" error="Value must be between 0 and the current implemented total." sqref="S147" xr:uid="{00000000-0002-0000-0100-000011000000}">
      <formula1>0</formula1>
      <formula2>C86</formula2>
    </dataValidation>
    <dataValidation type="whole" allowBlank="1" showErrorMessage="1" errorTitle="Invalid count" error="Value must be between 0 and the current implemented total." sqref="U147" xr:uid="{00000000-0002-0000-0100-000012000000}">
      <formula1>0</formula1>
      <formula2>C87</formula2>
    </dataValidation>
    <dataValidation type="whole" allowBlank="1" showErrorMessage="1" errorTitle="Invalid count" error="Value must be between 0 and the current implemented total." sqref="W147" xr:uid="{00000000-0002-0000-0100-000013000000}">
      <formula1>0</formula1>
      <formula2>C88</formula2>
    </dataValidation>
    <dataValidation type="whole" allowBlank="1" showErrorMessage="1" errorTitle="Invalid overall count" error="Overall count must be between 0 and the current implemented total." sqref="Q148" xr:uid="{00000000-0002-0000-0100-000014000000}">
      <formula1>0</formula1>
      <formula2>C16</formula2>
    </dataValidation>
    <dataValidation type="whole" allowBlank="1" showErrorMessage="1" errorTitle="Invalid count" error="Value must be between 0 and the current implemented total." sqref="S148" xr:uid="{00000000-0002-0000-0100-000015000000}">
      <formula1>0</formula1>
      <formula2>C86</formula2>
    </dataValidation>
    <dataValidation type="whole" allowBlank="1" showErrorMessage="1" errorTitle="Invalid count" error="Value must be between 0 and the current implemented total." sqref="U148" xr:uid="{00000000-0002-0000-0100-000016000000}">
      <formula1>0</formula1>
      <formula2>C87</formula2>
    </dataValidation>
    <dataValidation type="whole" allowBlank="1" showErrorMessage="1" errorTitle="Invalid count" error="Value must be between 0 and the current implemented total." sqref="W148" xr:uid="{00000000-0002-0000-0100-000017000000}">
      <formula1>0</formula1>
      <formula2>C88</formula2>
    </dataValidation>
    <dataValidation type="whole" allowBlank="1" showErrorMessage="1" errorTitle="Invalid overall count" error="Overall count must be between 0 and the current implemented total." sqref="Q149" xr:uid="{00000000-0002-0000-0100-000018000000}">
      <formula1>0</formula1>
      <formula2>C16</formula2>
    </dataValidation>
    <dataValidation type="whole" allowBlank="1" showErrorMessage="1" errorTitle="Invalid count" error="Value must be between 0 and the current implemented total." sqref="S149" xr:uid="{00000000-0002-0000-0100-000019000000}">
      <formula1>0</formula1>
      <formula2>C86</formula2>
    </dataValidation>
    <dataValidation type="whole" allowBlank="1" showErrorMessage="1" errorTitle="Invalid count" error="Value must be between 0 and the current implemented total." sqref="U149" xr:uid="{00000000-0002-0000-0100-00001A000000}">
      <formula1>0</formula1>
      <formula2>C87</formula2>
    </dataValidation>
    <dataValidation type="whole" allowBlank="1" showErrorMessage="1" errorTitle="Invalid count" error="Value must be between 0 and the current implemented total." sqref="W149" xr:uid="{00000000-0002-0000-0100-00001B000000}">
      <formula1>0</formula1>
      <formula2>C88</formula2>
    </dataValidation>
    <dataValidation type="whole" allowBlank="1" showErrorMessage="1" errorTitle="Invalid overall count" error="Overall count must be between 0 and the current implemented total." sqref="Q150" xr:uid="{00000000-0002-0000-0100-00001C000000}">
      <formula1>0</formula1>
      <formula2>C16</formula2>
    </dataValidation>
    <dataValidation type="whole" allowBlank="1" showErrorMessage="1" errorTitle="Invalid count" error="Value must be between 0 and the current implemented total." sqref="S150" xr:uid="{00000000-0002-0000-0100-00001D000000}">
      <formula1>0</formula1>
      <formula2>C86</formula2>
    </dataValidation>
    <dataValidation type="whole" allowBlank="1" showErrorMessage="1" errorTitle="Invalid count" error="Value must be between 0 and the current implemented total." sqref="U150" xr:uid="{00000000-0002-0000-0100-00001E000000}">
      <formula1>0</formula1>
      <formula2>C87</formula2>
    </dataValidation>
    <dataValidation type="whole" allowBlank="1" showErrorMessage="1" errorTitle="Invalid count" error="Value must be between 0 and the current implemented total." sqref="W150" xr:uid="{00000000-0002-0000-0100-00001F000000}">
      <formula1>0</formula1>
      <formula2>C88</formula2>
    </dataValidation>
    <dataValidation type="whole" allowBlank="1" showErrorMessage="1" errorTitle="Invalid overall count" error="Overall count must be between 0 and the current implemented total." sqref="Q151" xr:uid="{00000000-0002-0000-0100-000020000000}">
      <formula1>0</formula1>
      <formula2>C16</formula2>
    </dataValidation>
    <dataValidation type="whole" allowBlank="1" showErrorMessage="1" errorTitle="Invalid count" error="Value must be between 0 and the current implemented total." sqref="S151" xr:uid="{00000000-0002-0000-0100-000021000000}">
      <formula1>0</formula1>
      <formula2>C86</formula2>
    </dataValidation>
    <dataValidation type="whole" allowBlank="1" showErrorMessage="1" errorTitle="Invalid count" error="Value must be between 0 and the current implemented total." sqref="U151" xr:uid="{00000000-0002-0000-0100-000022000000}">
      <formula1>0</formula1>
      <formula2>C87</formula2>
    </dataValidation>
    <dataValidation type="whole" allowBlank="1" showErrorMessage="1" errorTitle="Invalid count" error="Value must be between 0 and the current implemented total." sqref="W151" xr:uid="{00000000-0002-0000-0100-000023000000}">
      <formula1>0</formula1>
      <formula2>C88</formula2>
    </dataValidation>
    <dataValidation type="whole" allowBlank="1" showErrorMessage="1" errorTitle="Invalid overall count" error="Overall count must be between 0 and the current implemented total." sqref="Q152" xr:uid="{00000000-0002-0000-0100-000024000000}">
      <formula1>0</formula1>
      <formula2>C16</formula2>
    </dataValidation>
    <dataValidation type="whole" allowBlank="1" showErrorMessage="1" errorTitle="Invalid count" error="Value must be between 0 and the current implemented total." sqref="S152" xr:uid="{00000000-0002-0000-0100-000025000000}">
      <formula1>0</formula1>
      <formula2>C86</formula2>
    </dataValidation>
    <dataValidation type="whole" allowBlank="1" showErrorMessage="1" errorTitle="Invalid count" error="Value must be between 0 and the current implemented total." sqref="U152" xr:uid="{00000000-0002-0000-0100-000026000000}">
      <formula1>0</formula1>
      <formula2>C87</formula2>
    </dataValidation>
    <dataValidation type="whole" allowBlank="1" showErrorMessage="1" errorTitle="Invalid count" error="Value must be between 0 and the current implemented total." sqref="W152" xr:uid="{00000000-0002-0000-0100-000027000000}">
      <formula1>0</formula1>
      <formula2>C88</formula2>
    </dataValidation>
    <dataValidation type="whole" allowBlank="1" showErrorMessage="1" errorTitle="Invalid overall count" error="Overall count must be between 0 and the current implemented total." sqref="Q153" xr:uid="{00000000-0002-0000-0100-000028000000}">
      <formula1>0</formula1>
      <formula2>C16</formula2>
    </dataValidation>
    <dataValidation type="whole" allowBlank="1" showErrorMessage="1" errorTitle="Invalid count" error="Value must be between 0 and the current implemented total." sqref="S153" xr:uid="{00000000-0002-0000-0100-000029000000}">
      <formula1>0</formula1>
      <formula2>C86</formula2>
    </dataValidation>
    <dataValidation type="whole" allowBlank="1" showErrorMessage="1" errorTitle="Invalid count" error="Value must be between 0 and the current implemented total." sqref="U153" xr:uid="{00000000-0002-0000-0100-00002A000000}">
      <formula1>0</formula1>
      <formula2>C87</formula2>
    </dataValidation>
    <dataValidation type="whole" allowBlank="1" showErrorMessage="1" errorTitle="Invalid count" error="Value must be between 0 and the current implemented total." sqref="W153" xr:uid="{00000000-0002-0000-0100-00002B000000}">
      <formula1>0</formula1>
      <formula2>C88</formula2>
    </dataValidation>
    <dataValidation type="whole" allowBlank="1" showErrorMessage="1" errorTitle="Invalid overall count" error="Overall count must be between 0 and the current implemented total." sqref="Q154" xr:uid="{00000000-0002-0000-0100-00002C000000}">
      <formula1>0</formula1>
      <formula2>C16</formula2>
    </dataValidation>
    <dataValidation type="whole" allowBlank="1" showErrorMessage="1" errorTitle="Invalid count" error="Value must be between 0 and the current implemented total." sqref="S154" xr:uid="{00000000-0002-0000-0100-00002D000000}">
      <formula1>0</formula1>
      <formula2>C86</formula2>
    </dataValidation>
    <dataValidation type="whole" allowBlank="1" showErrorMessage="1" errorTitle="Invalid count" error="Value must be between 0 and the current implemented total." sqref="U154" xr:uid="{00000000-0002-0000-0100-00002E000000}">
      <formula1>0</formula1>
      <formula2>C87</formula2>
    </dataValidation>
    <dataValidation type="whole" allowBlank="1" showErrorMessage="1" errorTitle="Invalid count" error="Value must be between 0 and the current implemented total." sqref="W154" xr:uid="{00000000-0002-0000-0100-00002F000000}">
      <formula1>0</formula1>
      <formula2>C88</formula2>
    </dataValidation>
    <dataValidation type="whole" allowBlank="1" showErrorMessage="1" errorTitle="Invalid overall count" error="Overall count must be between 0 and the current implemented total." sqref="Q155" xr:uid="{00000000-0002-0000-0100-000030000000}">
      <formula1>0</formula1>
      <formula2>C16</formula2>
    </dataValidation>
    <dataValidation type="whole" allowBlank="1" showErrorMessage="1" errorTitle="Invalid count" error="Value must be between 0 and the current implemented total." sqref="S155" xr:uid="{00000000-0002-0000-0100-000031000000}">
      <formula1>0</formula1>
      <formula2>C86</formula2>
    </dataValidation>
    <dataValidation type="whole" allowBlank="1" showErrorMessage="1" errorTitle="Invalid count" error="Value must be between 0 and the current implemented total." sqref="U155" xr:uid="{00000000-0002-0000-0100-000032000000}">
      <formula1>0</formula1>
      <formula2>C87</formula2>
    </dataValidation>
    <dataValidation type="whole" allowBlank="1" showErrorMessage="1" errorTitle="Invalid count" error="Value must be between 0 and the current implemented total." sqref="W155" xr:uid="{00000000-0002-0000-0100-000033000000}">
      <formula1>0</formula1>
      <formula2>C88</formula2>
    </dataValidation>
    <dataValidation type="whole" allowBlank="1" showErrorMessage="1" errorTitle="Invalid overall count" error="Overall count must be between 0 and the current implemented total." sqref="Q156" xr:uid="{00000000-0002-0000-0100-000034000000}">
      <formula1>0</formula1>
      <formula2>C16</formula2>
    </dataValidation>
    <dataValidation type="whole" allowBlank="1" showErrorMessage="1" errorTitle="Invalid count" error="Value must be between 0 and the current implemented total." sqref="S156" xr:uid="{00000000-0002-0000-0100-000035000000}">
      <formula1>0</formula1>
      <formula2>C86</formula2>
    </dataValidation>
    <dataValidation type="whole" allowBlank="1" showErrorMessage="1" errorTitle="Invalid count" error="Value must be between 0 and the current implemented total." sqref="U156" xr:uid="{00000000-0002-0000-0100-000036000000}">
      <formula1>0</formula1>
      <formula2>C87</formula2>
    </dataValidation>
    <dataValidation type="whole" allowBlank="1" showErrorMessage="1" errorTitle="Invalid count" error="Value must be between 0 and the current implemented total." sqref="W156" xr:uid="{00000000-0002-0000-0100-000037000000}">
      <formula1>0</formula1>
      <formula2>C88</formula2>
    </dataValidation>
    <dataValidation type="whole" allowBlank="1" showErrorMessage="1" errorTitle="Invalid overall count" error="Overall count must be between 0 and the current implemented total." sqref="Q157" xr:uid="{00000000-0002-0000-0100-000038000000}">
      <formula1>0</formula1>
      <formula2>C16</formula2>
    </dataValidation>
    <dataValidation type="whole" allowBlank="1" showErrorMessage="1" errorTitle="Invalid count" error="Value must be between 0 and the current implemented total." sqref="S157" xr:uid="{00000000-0002-0000-0100-000039000000}">
      <formula1>0</formula1>
      <formula2>C86</formula2>
    </dataValidation>
    <dataValidation type="whole" allowBlank="1" showErrorMessage="1" errorTitle="Invalid count" error="Value must be between 0 and the current implemented total." sqref="U157" xr:uid="{00000000-0002-0000-0100-00003A000000}">
      <formula1>0</formula1>
      <formula2>C87</formula2>
    </dataValidation>
    <dataValidation type="whole" allowBlank="1" showErrorMessage="1" errorTitle="Invalid count" error="Value must be between 0 and the current implemented total." sqref="W157" xr:uid="{00000000-0002-0000-0100-00003B000000}">
      <formula1>0</formula1>
      <formula2>C88</formula2>
    </dataValidation>
    <dataValidation type="whole" allowBlank="1" showErrorMessage="1" errorTitle="Invalid overall count" error="Overall count must be between 0 and the current implemented total." sqref="Q158" xr:uid="{00000000-0002-0000-0100-00003C000000}">
      <formula1>0</formula1>
      <formula2>C16</formula2>
    </dataValidation>
    <dataValidation type="whole" allowBlank="1" showErrorMessage="1" errorTitle="Invalid count" error="Value must be between 0 and the current implemented total." sqref="S158" xr:uid="{00000000-0002-0000-0100-00003D000000}">
      <formula1>0</formula1>
      <formula2>C86</formula2>
    </dataValidation>
    <dataValidation type="whole" allowBlank="1" showErrorMessage="1" errorTitle="Invalid count" error="Value must be between 0 and the current implemented total." sqref="U158" xr:uid="{00000000-0002-0000-0100-00003E000000}">
      <formula1>0</formula1>
      <formula2>C87</formula2>
    </dataValidation>
    <dataValidation type="whole" allowBlank="1" showErrorMessage="1" errorTitle="Invalid count" error="Value must be between 0 and the current implemented total." sqref="W158" xr:uid="{00000000-0002-0000-0100-00003F000000}">
      <formula1>0</formula1>
      <formula2>C88</formula2>
    </dataValidation>
    <dataValidation type="whole" allowBlank="1" showErrorMessage="1" errorTitle="Invalid overall count" error="Overall count must be between 0 and the current implemented total." sqref="Q159" xr:uid="{00000000-0002-0000-0100-000040000000}">
      <formula1>0</formula1>
      <formula2>C16</formula2>
    </dataValidation>
    <dataValidation type="whole" allowBlank="1" showErrorMessage="1" errorTitle="Invalid count" error="Value must be between 0 and the current implemented total." sqref="S159" xr:uid="{00000000-0002-0000-0100-000041000000}">
      <formula1>0</formula1>
      <formula2>C86</formula2>
    </dataValidation>
    <dataValidation type="whole" allowBlank="1" showErrorMessage="1" errorTitle="Invalid count" error="Value must be between 0 and the current implemented total." sqref="U159" xr:uid="{00000000-0002-0000-0100-000042000000}">
      <formula1>0</formula1>
      <formula2>C87</formula2>
    </dataValidation>
    <dataValidation type="whole" allowBlank="1" showErrorMessage="1" errorTitle="Invalid count" error="Value must be between 0 and the current implemented total." sqref="W159" xr:uid="{00000000-0002-0000-0100-000043000000}">
      <formula1>0</formula1>
      <formula2>C88</formula2>
    </dataValidation>
    <dataValidation type="whole" allowBlank="1" showErrorMessage="1" errorTitle="Invalid overall count" error="Overall count must be between 0 and the current implemented total." sqref="Q160" xr:uid="{00000000-0002-0000-0100-000044000000}">
      <formula1>0</formula1>
      <formula2>C16</formula2>
    </dataValidation>
    <dataValidation type="whole" allowBlank="1" showErrorMessage="1" errorTitle="Invalid count" error="Value must be between 0 and the current implemented total." sqref="S160" xr:uid="{00000000-0002-0000-0100-000045000000}">
      <formula1>0</formula1>
      <formula2>C86</formula2>
    </dataValidation>
    <dataValidation type="whole" allowBlank="1" showErrorMessage="1" errorTitle="Invalid count" error="Value must be between 0 and the current implemented total." sqref="U160" xr:uid="{00000000-0002-0000-0100-000046000000}">
      <formula1>0</formula1>
      <formula2>C87</formula2>
    </dataValidation>
    <dataValidation type="whole" allowBlank="1" showErrorMessage="1" errorTitle="Invalid count" error="Value must be between 0 and the current implemented total." sqref="W160" xr:uid="{00000000-0002-0000-0100-000047000000}">
      <formula1>0</formula1>
      <formula2>C88</formula2>
    </dataValidation>
    <dataValidation type="whole" allowBlank="1" showErrorMessage="1" errorTitle="Invalid overall count" error="Overall count must be between 0 and the current implemented total." sqref="Q161" xr:uid="{00000000-0002-0000-0100-000048000000}">
      <formula1>0</formula1>
      <formula2>C16</formula2>
    </dataValidation>
    <dataValidation type="whole" allowBlank="1" showErrorMessage="1" errorTitle="Invalid count" error="Value must be between 0 and the current implemented total." sqref="S161" xr:uid="{00000000-0002-0000-0100-000049000000}">
      <formula1>0</formula1>
      <formula2>C86</formula2>
    </dataValidation>
    <dataValidation type="whole" allowBlank="1" showErrorMessage="1" errorTitle="Invalid count" error="Value must be between 0 and the current implemented total." sqref="U161" xr:uid="{00000000-0002-0000-0100-00004A000000}">
      <formula1>0</formula1>
      <formula2>C87</formula2>
    </dataValidation>
    <dataValidation type="whole" allowBlank="1" showErrorMessage="1" errorTitle="Invalid count" error="Value must be between 0 and the current implemented total." sqref="W161" xr:uid="{00000000-0002-0000-0100-00004B000000}">
      <formula1>0</formula1>
      <formula2>C88</formula2>
    </dataValidation>
    <dataValidation type="whole" allowBlank="1" showErrorMessage="1" errorTitle="Invalid overall count" error="Overall count must be between 0 and the current implemented total." sqref="Q162" xr:uid="{00000000-0002-0000-0100-00004C000000}">
      <formula1>0</formula1>
      <formula2>C16</formula2>
    </dataValidation>
    <dataValidation type="whole" allowBlank="1" showErrorMessage="1" errorTitle="Invalid count" error="Value must be between 0 and the current implemented total." sqref="S162" xr:uid="{00000000-0002-0000-0100-00004D000000}">
      <formula1>0</formula1>
      <formula2>C86</formula2>
    </dataValidation>
    <dataValidation type="whole" allowBlank="1" showErrorMessage="1" errorTitle="Invalid count" error="Value must be between 0 and the current implemented total." sqref="U162" xr:uid="{00000000-0002-0000-0100-00004E000000}">
      <formula1>0</formula1>
      <formula2>C87</formula2>
    </dataValidation>
    <dataValidation type="whole" allowBlank="1" showErrorMessage="1" errorTitle="Invalid count" error="Value must be between 0 and the current implemented total." sqref="W162" xr:uid="{00000000-0002-0000-0100-00004F000000}">
      <formula1>0</formula1>
      <formula2>C88</formula2>
    </dataValidation>
    <dataValidation type="whole" allowBlank="1" showErrorMessage="1" errorTitle="Invalid overall count" error="Overall count must be between 0 and the current implemented total." sqref="Q163" xr:uid="{00000000-0002-0000-0100-000050000000}">
      <formula1>0</formula1>
      <formula2>C16</formula2>
    </dataValidation>
    <dataValidation type="whole" allowBlank="1" showErrorMessage="1" errorTitle="Invalid count" error="Value must be between 0 and the current implemented total." sqref="S163" xr:uid="{00000000-0002-0000-0100-000051000000}">
      <formula1>0</formula1>
      <formula2>C86</formula2>
    </dataValidation>
    <dataValidation type="whole" allowBlank="1" showErrorMessage="1" errorTitle="Invalid count" error="Value must be between 0 and the current implemented total." sqref="U163" xr:uid="{00000000-0002-0000-0100-000052000000}">
      <formula1>0</formula1>
      <formula2>C87</formula2>
    </dataValidation>
    <dataValidation type="whole" allowBlank="1" showErrorMessage="1" errorTitle="Invalid count" error="Value must be between 0 and the current implemented total." sqref="W163" xr:uid="{00000000-0002-0000-0100-000053000000}">
      <formula1>0</formula1>
      <formula2>C88</formula2>
    </dataValidation>
    <dataValidation type="whole" allowBlank="1" showErrorMessage="1" errorTitle="Invalid overall count" error="Overall count must be between 0 and the current implemented total." sqref="Q164" xr:uid="{00000000-0002-0000-0100-000054000000}">
      <formula1>0</formula1>
      <formula2>C16</formula2>
    </dataValidation>
    <dataValidation type="whole" allowBlank="1" showErrorMessage="1" errorTitle="Invalid count" error="Value must be between 0 and the current implemented total." sqref="S164" xr:uid="{00000000-0002-0000-0100-000055000000}">
      <formula1>0</formula1>
      <formula2>C86</formula2>
    </dataValidation>
    <dataValidation type="whole" allowBlank="1" showErrorMessage="1" errorTitle="Invalid count" error="Value must be between 0 and the current implemented total." sqref="U164" xr:uid="{00000000-0002-0000-0100-000056000000}">
      <formula1>0</formula1>
      <formula2>C87</formula2>
    </dataValidation>
    <dataValidation type="whole" allowBlank="1" showErrorMessage="1" errorTitle="Invalid count" error="Value must be between 0 and the current implemented total." sqref="W164" xr:uid="{00000000-0002-0000-0100-000057000000}">
      <formula1>0</formula1>
      <formula2>C88</formula2>
    </dataValidation>
    <dataValidation type="whole" allowBlank="1" showErrorMessage="1" errorTitle="Invalid overall count" error="Overall count must be between 0 and the current implemented total." sqref="Q165" xr:uid="{00000000-0002-0000-0100-000058000000}">
      <formula1>0</formula1>
      <formula2>C16</formula2>
    </dataValidation>
    <dataValidation type="whole" allowBlank="1" showErrorMessage="1" errorTitle="Invalid count" error="Value must be between 0 and the current implemented total." sqref="S165" xr:uid="{00000000-0002-0000-0100-000059000000}">
      <formula1>0</formula1>
      <formula2>C86</formula2>
    </dataValidation>
    <dataValidation type="whole" allowBlank="1" showErrorMessage="1" errorTitle="Invalid count" error="Value must be between 0 and the current implemented total." sqref="U165" xr:uid="{00000000-0002-0000-0100-00005A000000}">
      <formula1>0</formula1>
      <formula2>C87</formula2>
    </dataValidation>
    <dataValidation type="whole" allowBlank="1" showErrorMessage="1" errorTitle="Invalid count" error="Value must be between 0 and the current implemented total." sqref="W165" xr:uid="{00000000-0002-0000-0100-00005B000000}">
      <formula1>0</formula1>
      <formula2>C88</formula2>
    </dataValidation>
    <dataValidation type="whole" allowBlank="1" showErrorMessage="1" errorTitle="Invalid overall count" error="Overall count must be between 0 and the current implemented total." sqref="Q166" xr:uid="{00000000-0002-0000-0100-00005C000000}">
      <formula1>0</formula1>
      <formula2>C16</formula2>
    </dataValidation>
    <dataValidation type="whole" allowBlank="1" showErrorMessage="1" errorTitle="Invalid count" error="Value must be between 0 and the current implemented total." sqref="S166" xr:uid="{00000000-0002-0000-0100-00005D000000}">
      <formula1>0</formula1>
      <formula2>C86</formula2>
    </dataValidation>
    <dataValidation type="whole" allowBlank="1" showErrorMessage="1" errorTitle="Invalid count" error="Value must be between 0 and the current implemented total." sqref="U166" xr:uid="{00000000-0002-0000-0100-00005E000000}">
      <formula1>0</formula1>
      <formula2>C87</formula2>
    </dataValidation>
    <dataValidation type="whole" allowBlank="1" showErrorMessage="1" errorTitle="Invalid count" error="Value must be between 0 and the current implemented total." sqref="W166" xr:uid="{00000000-0002-0000-0100-00005F000000}">
      <formula1>0</formula1>
      <formula2>C88</formula2>
    </dataValidation>
    <dataValidation type="whole" allowBlank="1" showErrorMessage="1" errorTitle="Invalid overall count" error="Overall count must be between 0 and the current implemented total." sqref="Q167" xr:uid="{00000000-0002-0000-0100-000060000000}">
      <formula1>0</formula1>
      <formula2>C16</formula2>
    </dataValidation>
    <dataValidation type="whole" allowBlank="1" showErrorMessage="1" errorTitle="Invalid count" error="Value must be between 0 and the current implemented total." sqref="S167" xr:uid="{00000000-0002-0000-0100-000061000000}">
      <formula1>0</formula1>
      <formula2>C86</formula2>
    </dataValidation>
    <dataValidation type="whole" allowBlank="1" showErrorMessage="1" errorTitle="Invalid count" error="Value must be between 0 and the current implemented total." sqref="U167" xr:uid="{00000000-0002-0000-0100-000062000000}">
      <formula1>0</formula1>
      <formula2>C87</formula2>
    </dataValidation>
    <dataValidation type="whole" allowBlank="1" showErrorMessage="1" errorTitle="Invalid count" error="Value must be between 0 and the current implemented total." sqref="W167" xr:uid="{00000000-0002-0000-0100-000063000000}">
      <formula1>0</formula1>
      <formula2>C88</formula2>
    </dataValidation>
    <dataValidation type="whole" allowBlank="1" showErrorMessage="1" errorTitle="Invalid overall count" error="Overall count must be between 0 and the current implemented total." sqref="Q168" xr:uid="{00000000-0002-0000-0100-000064000000}">
      <formula1>0</formula1>
      <formula2>C16</formula2>
    </dataValidation>
    <dataValidation type="whole" allowBlank="1" showErrorMessage="1" errorTitle="Invalid count" error="Value must be between 0 and the current implemented total." sqref="S168" xr:uid="{00000000-0002-0000-0100-000065000000}">
      <formula1>0</formula1>
      <formula2>C86</formula2>
    </dataValidation>
    <dataValidation type="whole" allowBlank="1" showErrorMessage="1" errorTitle="Invalid count" error="Value must be between 0 and the current implemented total." sqref="U168" xr:uid="{00000000-0002-0000-0100-000066000000}">
      <formula1>0</formula1>
      <formula2>C87</formula2>
    </dataValidation>
    <dataValidation type="whole" allowBlank="1" showErrorMessage="1" errorTitle="Invalid count" error="Value must be between 0 and the current implemented total." sqref="W168" xr:uid="{00000000-0002-0000-0100-000067000000}">
      <formula1>0</formula1>
      <formula2>C88</formula2>
    </dataValidation>
    <dataValidation type="whole" allowBlank="1" showErrorMessage="1" errorTitle="Invalid overall count" error="Overall count must be between 0 and the current implemented total." sqref="Q169" xr:uid="{00000000-0002-0000-0100-000068000000}">
      <formula1>0</formula1>
      <formula2>C16</formula2>
    </dataValidation>
    <dataValidation type="whole" allowBlank="1" showErrorMessage="1" errorTitle="Invalid count" error="Value must be between 0 and the current implemented total." sqref="S169" xr:uid="{00000000-0002-0000-0100-000069000000}">
      <formula1>0</formula1>
      <formula2>C86</formula2>
    </dataValidation>
    <dataValidation type="whole" allowBlank="1" showErrorMessage="1" errorTitle="Invalid count" error="Value must be between 0 and the current implemented total." sqref="U169" xr:uid="{00000000-0002-0000-0100-00006A000000}">
      <formula1>0</formula1>
      <formula2>C87</formula2>
    </dataValidation>
    <dataValidation type="whole" allowBlank="1" showErrorMessage="1" errorTitle="Invalid count" error="Value must be between 0 and the current implemented total." sqref="W169" xr:uid="{00000000-0002-0000-0100-00006B000000}">
      <formula1>0</formula1>
      <formula2>C88</formula2>
    </dataValidation>
    <dataValidation type="whole" allowBlank="1" showErrorMessage="1" errorTitle="Invalid overall count" error="Overall count must be between 0 and the current implemented total." sqref="Q170" xr:uid="{00000000-0002-0000-0100-00006C000000}">
      <formula1>0</formula1>
      <formula2>C16</formula2>
    </dataValidation>
    <dataValidation type="whole" allowBlank="1" showErrorMessage="1" errorTitle="Invalid count" error="Value must be between 0 and the current implemented total." sqref="S170" xr:uid="{00000000-0002-0000-0100-00006D000000}">
      <formula1>0</formula1>
      <formula2>C86</formula2>
    </dataValidation>
    <dataValidation type="whole" allowBlank="1" showErrorMessage="1" errorTitle="Invalid count" error="Value must be between 0 and the current implemented total." sqref="U170" xr:uid="{00000000-0002-0000-0100-00006E000000}">
      <formula1>0</formula1>
      <formula2>C87</formula2>
    </dataValidation>
    <dataValidation type="whole" allowBlank="1" showErrorMessage="1" errorTitle="Invalid count" error="Value must be between 0 and the current implemented total." sqref="W170" xr:uid="{00000000-0002-0000-0100-00006F000000}">
      <formula1>0</formula1>
      <formula2>C88</formula2>
    </dataValidation>
    <dataValidation type="whole" allowBlank="1" showErrorMessage="1" errorTitle="Invalid overall count" error="Overall count must be between 0 and the current implemented total." sqref="Q171" xr:uid="{00000000-0002-0000-0100-000070000000}">
      <formula1>0</formula1>
      <formula2>C16</formula2>
    </dataValidation>
    <dataValidation type="whole" allowBlank="1" showErrorMessage="1" errorTitle="Invalid count" error="Value must be between 0 and the current implemented total." sqref="S171" xr:uid="{00000000-0002-0000-0100-000071000000}">
      <formula1>0</formula1>
      <formula2>C86</formula2>
    </dataValidation>
    <dataValidation type="whole" allowBlank="1" showErrorMessage="1" errorTitle="Invalid count" error="Value must be between 0 and the current implemented total." sqref="U171" xr:uid="{00000000-0002-0000-0100-000072000000}">
      <formula1>0</formula1>
      <formula2>C87</formula2>
    </dataValidation>
    <dataValidation type="whole" allowBlank="1" showErrorMessage="1" errorTitle="Invalid count" error="Value must be between 0 and the current implemented total." sqref="W171" xr:uid="{00000000-0002-0000-0100-000073000000}">
      <formula1>0</formula1>
      <formula2>C88</formula2>
    </dataValidation>
    <dataValidation type="whole" allowBlank="1" showErrorMessage="1" errorTitle="Invalid overall count" error="Overall count must be between 0 and the current implemented total." sqref="Q172" xr:uid="{00000000-0002-0000-0100-000074000000}">
      <formula1>0</formula1>
      <formula2>C16</formula2>
    </dataValidation>
    <dataValidation type="whole" allowBlank="1" showErrorMessage="1" errorTitle="Invalid count" error="Value must be between 0 and the current implemented total." sqref="S172" xr:uid="{00000000-0002-0000-0100-000075000000}">
      <formula1>0</formula1>
      <formula2>C86</formula2>
    </dataValidation>
    <dataValidation type="whole" allowBlank="1" showErrorMessage="1" errorTitle="Invalid count" error="Value must be between 0 and the current implemented total." sqref="U172" xr:uid="{00000000-0002-0000-0100-000076000000}">
      <formula1>0</formula1>
      <formula2>C87</formula2>
    </dataValidation>
    <dataValidation type="whole" allowBlank="1" showErrorMessage="1" errorTitle="Invalid count" error="Value must be between 0 and the current implemented total." sqref="W172" xr:uid="{00000000-0002-0000-0100-000077000000}">
      <formula1>0</formula1>
      <formula2>C88</formula2>
    </dataValidation>
    <dataValidation type="whole" allowBlank="1" showErrorMessage="1" errorTitle="Invalid Asset Count" error="Value must be between 0 and the Total Asset Numbers above." sqref="Q185" xr:uid="{00000000-0002-0000-0100-000078000000}">
      <formula1>0</formula1>
      <formula2>$P181</formula2>
    </dataValidation>
    <dataValidation type="whole" allowBlank="1" showErrorMessage="1" errorTitle="Invalid Asset Count" error="Value must be between 0 and the Total Asset Numbers above." sqref="Q186" xr:uid="{00000000-0002-0000-0100-000079000000}">
      <formula1>0</formula1>
      <formula2>$P181</formula2>
    </dataValidation>
    <dataValidation type="whole" allowBlank="1" showErrorMessage="1" errorTitle="Invalid Asset Count" error="Value must be between 0 and the Total Asset Numbers above." sqref="Q187" xr:uid="{00000000-0002-0000-0100-00007A000000}">
      <formula1>0</formula1>
      <formula2>$P181</formula2>
    </dataValidation>
    <dataValidation type="whole" allowBlank="1" showErrorMessage="1" errorTitle="Invalid Asset Count" error="Value must be between 0 and the Total Asset Numbers above." sqref="Q188" xr:uid="{00000000-0002-0000-0100-00007B000000}">
      <formula1>0</formula1>
      <formula2>$P181</formula2>
    </dataValidation>
    <dataValidation type="whole" allowBlank="1" showErrorMessage="1" errorTitle="Invalid Asset Count" error="Value must be between 0 and the Total Asset Numbers above." sqref="Q189" xr:uid="{00000000-0002-0000-0100-00007C000000}">
      <formula1>0</formula1>
      <formula2>$P181</formula2>
    </dataValidation>
    <dataValidation type="whole" allowBlank="1" showErrorMessage="1" errorTitle="Invalid Asset Count" error="Value must be between 0 and the Total Asset Numbers above." sqref="Q190" xr:uid="{00000000-0002-0000-0100-00007D000000}">
      <formula1>0</formula1>
      <formula2>$P181</formula2>
    </dataValidation>
    <dataValidation type="whole" allowBlank="1" showErrorMessage="1" errorTitle="Invalid Asset Count" error="Value must be between 0 and the Total Asset Numbers above." sqref="Q191" xr:uid="{00000000-0002-0000-0100-00007E000000}">
      <formula1>0</formula1>
      <formula2>$P181</formula2>
    </dataValidation>
    <dataValidation type="whole" allowBlank="1" showErrorMessage="1" errorTitle="Invalid Asset Count" error="Value must be between 0 and the Total Asset Numbers above." sqref="Q192" xr:uid="{00000000-0002-0000-0100-00007F000000}">
      <formula1>0</formula1>
      <formula2>$P181</formula2>
    </dataValidation>
    <dataValidation type="whole" allowBlank="1" showErrorMessage="1" errorTitle="Invalid Asset Count" error="Value must be between 0 and the Total Asset Numbers above." sqref="Q193" xr:uid="{00000000-0002-0000-0100-000080000000}">
      <formula1>0</formula1>
      <formula2>$P181</formula2>
    </dataValidation>
    <dataValidation type="whole" allowBlank="1" showErrorMessage="1" errorTitle="Invalid Asset Count" error="Value must be between 0 and the Total Asset Numbers above." sqref="Q194" xr:uid="{00000000-0002-0000-0100-000081000000}">
      <formula1>0</formula1>
      <formula2>$P181</formula2>
    </dataValidation>
    <dataValidation type="whole" allowBlank="1" showErrorMessage="1" errorTitle="Invalid Asset Count" error="Value must be between 0 and the Total Asset Numbers above." sqref="Q195" xr:uid="{00000000-0002-0000-0100-000082000000}">
      <formula1>0</formula1>
      <formula2>$P181</formula2>
    </dataValidation>
    <dataValidation type="whole" allowBlank="1" showErrorMessage="1" errorTitle="Invalid Asset Count" error="Value must be between 0 and the Total Asset Numbers above." sqref="Q196" xr:uid="{00000000-0002-0000-0100-000083000000}">
      <formula1>0</formula1>
      <formula2>$P181</formula2>
    </dataValidation>
    <dataValidation type="whole" allowBlank="1" showErrorMessage="1" errorTitle="Invalid Asset Count" error="Value must be between 0 and the Total Asset Numbers above." sqref="Q197" xr:uid="{00000000-0002-0000-0100-000084000000}">
      <formula1>0</formula1>
      <formula2>$P181</formula2>
    </dataValidation>
    <dataValidation type="whole" allowBlank="1" showErrorMessage="1" errorTitle="Invalid Asset Count" error="Value must be between 0 and the Total Asset Numbers above." sqref="Q198" xr:uid="{00000000-0002-0000-0100-000085000000}">
      <formula1>0</formula1>
      <formula2>$P181</formula2>
    </dataValidation>
    <dataValidation type="whole" allowBlank="1" showErrorMessage="1" errorTitle="Invalid Asset Count" error="Value must be between 0 and the Total Asset Numbers above." sqref="Q199" xr:uid="{00000000-0002-0000-0100-000086000000}">
      <formula1>0</formula1>
      <formula2>$P181</formula2>
    </dataValidation>
    <dataValidation type="whole" allowBlank="1" showErrorMessage="1" errorTitle="Invalid Asset Count" error="Value must be between 0 and the Total Asset Numbers above." sqref="Q200" xr:uid="{00000000-0002-0000-0100-000087000000}">
      <formula1>0</formula1>
      <formula2>$P181</formula2>
    </dataValidation>
    <dataValidation type="whole" allowBlank="1" showErrorMessage="1" errorTitle="Invalid Asset Count" error="Value must be between 0 and the Total Asset Numbers above." sqref="Q201" xr:uid="{00000000-0002-0000-0100-000088000000}">
      <formula1>0</formula1>
      <formula2>$P181</formula2>
    </dataValidation>
    <dataValidation type="whole" allowBlank="1" showErrorMessage="1" errorTitle="Invalid Asset Count" error="Value must be between 0 and the Total Asset Numbers above." sqref="Q202" xr:uid="{00000000-0002-0000-0100-000089000000}">
      <formula1>0</formula1>
      <formula2>$P181</formula2>
    </dataValidation>
    <dataValidation type="whole" allowBlank="1" showErrorMessage="1" errorTitle="Invalid Asset Count" error="Value must be between 0 and the Total Asset Numbers above." sqref="Q203" xr:uid="{00000000-0002-0000-0100-00008A000000}">
      <formula1>0</formula1>
      <formula2>$P181</formula2>
    </dataValidation>
    <dataValidation type="whole" allowBlank="1" showErrorMessage="1" errorTitle="Invalid Asset Count" error="Value must be between 0 and the Total Asset Numbers above." sqref="Q204" xr:uid="{00000000-0002-0000-0100-00008B000000}">
      <formula1>0</formula1>
      <formula2>$P181</formula2>
    </dataValidation>
  </dataValidations>
  <hyperlinks>
    <hyperlink ref="B20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82"/>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78"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27</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16</v>
      </c>
      <c r="D7" s="3" t="s">
        <v>17</v>
      </c>
      <c r="E7" s="4" t="s">
        <v>18</v>
      </c>
      <c r="F7" s="4" t="s">
        <v>19</v>
      </c>
      <c r="G7" s="4" t="s">
        <v>20</v>
      </c>
      <c r="H7" s="4" t="s">
        <v>21</v>
      </c>
      <c r="I7" s="5" t="s">
        <v>21</v>
      </c>
      <c r="J7" s="1" t="s">
        <v>48</v>
      </c>
      <c r="K7" s="1" t="s">
        <v>44</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51</v>
      </c>
      <c r="C9" s="2" t="s">
        <v>16</v>
      </c>
      <c r="D9" s="3" t="s">
        <v>17</v>
      </c>
      <c r="E9" s="4" t="s">
        <v>18</v>
      </c>
      <c r="F9" s="4" t="s">
        <v>19</v>
      </c>
      <c r="G9" s="4" t="s">
        <v>20</v>
      </c>
      <c r="H9" s="4" t="s">
        <v>21</v>
      </c>
      <c r="I9" s="5" t="s">
        <v>21</v>
      </c>
      <c r="J9" s="1" t="s">
        <v>56</v>
      </c>
      <c r="K9" s="1" t="s">
        <v>53</v>
      </c>
      <c r="L9" s="1" t="s">
        <v>57</v>
      </c>
      <c r="M9" s="4" t="str">
        <f t="shared" si="0"/>
        <v>Outstanding</v>
      </c>
      <c r="N9" s="13" t="s">
        <v>21</v>
      </c>
    </row>
    <row r="10" spans="1:14" ht="60" customHeight="1" x14ac:dyDescent="0.35">
      <c r="A10" s="11" t="s">
        <v>58</v>
      </c>
      <c r="B10" s="1" t="s">
        <v>59</v>
      </c>
      <c r="C10" s="2" t="s">
        <v>16</v>
      </c>
      <c r="D10" s="3" t="s">
        <v>17</v>
      </c>
      <c r="E10" s="4" t="s">
        <v>18</v>
      </c>
      <c r="F10" s="4" t="s">
        <v>19</v>
      </c>
      <c r="G10" s="4" t="s">
        <v>20</v>
      </c>
      <c r="H10" s="4" t="s">
        <v>21</v>
      </c>
      <c r="I10" s="5" t="s">
        <v>21</v>
      </c>
      <c r="J10" s="1" t="s">
        <v>60</v>
      </c>
      <c r="K10" s="1" t="s">
        <v>61</v>
      </c>
      <c r="L10" s="1" t="s">
        <v>62</v>
      </c>
      <c r="M10" s="4" t="str">
        <f t="shared" si="0"/>
        <v>Outstanding</v>
      </c>
      <c r="N10" s="13" t="s">
        <v>21</v>
      </c>
    </row>
    <row r="11" spans="1:14" ht="60" customHeight="1" x14ac:dyDescent="0.35">
      <c r="A11" s="11" t="s">
        <v>63</v>
      </c>
      <c r="B11" s="1" t="s">
        <v>64</v>
      </c>
      <c r="C11" s="2" t="s">
        <v>16</v>
      </c>
      <c r="D11" s="3" t="s">
        <v>17</v>
      </c>
      <c r="E11" s="4" t="s">
        <v>18</v>
      </c>
      <c r="F11" s="4" t="s">
        <v>19</v>
      </c>
      <c r="G11" s="4" t="s">
        <v>20</v>
      </c>
      <c r="H11" s="4" t="s">
        <v>21</v>
      </c>
      <c r="I11" s="5" t="s">
        <v>21</v>
      </c>
      <c r="J11" s="1" t="s">
        <v>65</v>
      </c>
      <c r="K11" s="1" t="s">
        <v>66</v>
      </c>
      <c r="L11" s="1" t="s">
        <v>67</v>
      </c>
      <c r="M11" s="4" t="str">
        <f t="shared" si="0"/>
        <v>Outstanding</v>
      </c>
      <c r="N11" s="13" t="s">
        <v>21</v>
      </c>
    </row>
    <row r="12" spans="1:14" ht="60" customHeight="1" x14ac:dyDescent="0.35">
      <c r="A12" s="11" t="s">
        <v>68</v>
      </c>
      <c r="B12" s="1" t="s">
        <v>69</v>
      </c>
      <c r="C12" s="2" t="s">
        <v>70</v>
      </c>
      <c r="D12" s="3" t="s">
        <v>17</v>
      </c>
      <c r="E12" s="4" t="s">
        <v>18</v>
      </c>
      <c r="F12" s="4" t="s">
        <v>19</v>
      </c>
      <c r="G12" s="4" t="s">
        <v>20</v>
      </c>
      <c r="H12" s="4" t="s">
        <v>21</v>
      </c>
      <c r="I12" s="5" t="s">
        <v>21</v>
      </c>
      <c r="J12" s="1" t="s">
        <v>71</v>
      </c>
      <c r="K12" s="1" t="s">
        <v>72</v>
      </c>
      <c r="L12" s="1" t="s">
        <v>73</v>
      </c>
      <c r="M12" s="4" t="str">
        <f t="shared" si="0"/>
        <v>Outstanding</v>
      </c>
      <c r="N12" s="13" t="s">
        <v>21</v>
      </c>
    </row>
    <row r="13" spans="1:14" ht="60" customHeight="1" x14ac:dyDescent="0.35">
      <c r="A13" s="11" t="s">
        <v>74</v>
      </c>
      <c r="B13" s="1" t="s">
        <v>75</v>
      </c>
      <c r="C13" s="2" t="s">
        <v>16</v>
      </c>
      <c r="D13" s="3" t="s">
        <v>17</v>
      </c>
      <c r="E13" s="4" t="s">
        <v>18</v>
      </c>
      <c r="F13" s="4" t="s">
        <v>19</v>
      </c>
      <c r="G13" s="4" t="s">
        <v>20</v>
      </c>
      <c r="H13" s="4" t="s">
        <v>21</v>
      </c>
      <c r="I13" s="5" t="s">
        <v>21</v>
      </c>
      <c r="J13" s="1" t="s">
        <v>76</v>
      </c>
      <c r="K13" s="1" t="s">
        <v>77</v>
      </c>
      <c r="L13" s="1" t="s">
        <v>78</v>
      </c>
      <c r="M13" s="4" t="str">
        <f t="shared" si="0"/>
        <v>Outstanding</v>
      </c>
      <c r="N13" s="13" t="s">
        <v>21</v>
      </c>
    </row>
    <row r="14" spans="1:14" ht="60" customHeight="1" x14ac:dyDescent="0.35">
      <c r="A14" s="11" t="s">
        <v>79</v>
      </c>
      <c r="B14" s="1" t="s">
        <v>80</v>
      </c>
      <c r="C14" s="2" t="s">
        <v>16</v>
      </c>
      <c r="D14" s="3" t="s">
        <v>17</v>
      </c>
      <c r="E14" s="4" t="s">
        <v>18</v>
      </c>
      <c r="F14" s="4" t="s">
        <v>19</v>
      </c>
      <c r="G14" s="4" t="s">
        <v>20</v>
      </c>
      <c r="H14" s="4" t="s">
        <v>21</v>
      </c>
      <c r="I14" s="5" t="s">
        <v>21</v>
      </c>
      <c r="J14" s="1" t="s">
        <v>81</v>
      </c>
      <c r="K14" s="1" t="s">
        <v>82</v>
      </c>
      <c r="L14" s="1" t="s">
        <v>83</v>
      </c>
      <c r="M14" s="4" t="str">
        <f t="shared" si="0"/>
        <v>Outstanding</v>
      </c>
      <c r="N14" s="13" t="s">
        <v>21</v>
      </c>
    </row>
    <row r="15" spans="1:14" ht="60" customHeight="1" x14ac:dyDescent="0.35">
      <c r="A15" s="11" t="s">
        <v>84</v>
      </c>
      <c r="B15" s="1" t="s">
        <v>85</v>
      </c>
      <c r="C15" s="2" t="s">
        <v>27</v>
      </c>
      <c r="D15" s="3" t="s">
        <v>17</v>
      </c>
      <c r="E15" s="4" t="s">
        <v>18</v>
      </c>
      <c r="F15" s="4" t="s">
        <v>19</v>
      </c>
      <c r="G15" s="4" t="s">
        <v>20</v>
      </c>
      <c r="H15" s="4" t="s">
        <v>21</v>
      </c>
      <c r="I15" s="5" t="s">
        <v>21</v>
      </c>
      <c r="J15" s="1" t="s">
        <v>86</v>
      </c>
      <c r="K15" s="1" t="s">
        <v>87</v>
      </c>
      <c r="L15" s="1" t="s">
        <v>88</v>
      </c>
      <c r="M15" s="4" t="str">
        <f t="shared" si="0"/>
        <v>Outstanding</v>
      </c>
      <c r="N15" s="13" t="s">
        <v>21</v>
      </c>
    </row>
    <row r="16" spans="1:14" ht="60" customHeight="1" x14ac:dyDescent="0.35">
      <c r="A16" s="11" t="s">
        <v>89</v>
      </c>
      <c r="B16" s="1" t="s">
        <v>90</v>
      </c>
      <c r="C16" s="2" t="s">
        <v>70</v>
      </c>
      <c r="D16" s="3" t="s">
        <v>17</v>
      </c>
      <c r="E16" s="4" t="s">
        <v>18</v>
      </c>
      <c r="F16" s="4" t="s">
        <v>19</v>
      </c>
      <c r="G16" s="4" t="s">
        <v>20</v>
      </c>
      <c r="H16" s="4" t="s">
        <v>21</v>
      </c>
      <c r="I16" s="5" t="s">
        <v>21</v>
      </c>
      <c r="J16" s="1" t="s">
        <v>91</v>
      </c>
      <c r="K16" s="1" t="s">
        <v>92</v>
      </c>
      <c r="L16" s="1" t="s">
        <v>93</v>
      </c>
      <c r="M16" s="4" t="str">
        <f t="shared" si="0"/>
        <v>Outstanding</v>
      </c>
      <c r="N16" s="13" t="s">
        <v>21</v>
      </c>
    </row>
    <row r="17" spans="1:14" ht="60" customHeight="1" x14ac:dyDescent="0.35">
      <c r="A17" s="11" t="s">
        <v>94</v>
      </c>
      <c r="B17" s="1" t="s">
        <v>95</v>
      </c>
      <c r="C17" s="2" t="s">
        <v>16</v>
      </c>
      <c r="D17" s="3" t="s">
        <v>17</v>
      </c>
      <c r="E17" s="4" t="s">
        <v>18</v>
      </c>
      <c r="F17" s="4" t="s">
        <v>19</v>
      </c>
      <c r="G17" s="4" t="s">
        <v>20</v>
      </c>
      <c r="H17" s="4" t="s">
        <v>21</v>
      </c>
      <c r="I17" s="5" t="s">
        <v>21</v>
      </c>
      <c r="J17" s="1" t="s">
        <v>96</v>
      </c>
      <c r="K17" s="1" t="s">
        <v>97</v>
      </c>
      <c r="L17" s="1" t="s">
        <v>98</v>
      </c>
      <c r="M17" s="4" t="str">
        <f t="shared" si="0"/>
        <v>Outstanding</v>
      </c>
      <c r="N17" s="13" t="s">
        <v>21</v>
      </c>
    </row>
    <row r="18" spans="1:14" ht="60" customHeight="1" x14ac:dyDescent="0.35">
      <c r="A18" s="11" t="s">
        <v>99</v>
      </c>
      <c r="B18" s="1" t="s">
        <v>100</v>
      </c>
      <c r="C18" s="2" t="s">
        <v>16</v>
      </c>
      <c r="D18" s="3" t="s">
        <v>17</v>
      </c>
      <c r="E18" s="4" t="s">
        <v>18</v>
      </c>
      <c r="F18" s="4" t="s">
        <v>19</v>
      </c>
      <c r="G18" s="4" t="s">
        <v>20</v>
      </c>
      <c r="H18" s="4" t="s">
        <v>21</v>
      </c>
      <c r="I18" s="5" t="s">
        <v>21</v>
      </c>
      <c r="J18" s="1" t="s">
        <v>101</v>
      </c>
      <c r="K18" s="1" t="s">
        <v>102</v>
      </c>
      <c r="L18" s="1" t="s">
        <v>103</v>
      </c>
      <c r="M18" s="4" t="str">
        <f t="shared" si="0"/>
        <v>Outstanding</v>
      </c>
      <c r="N18" s="13" t="s">
        <v>21</v>
      </c>
    </row>
    <row r="19" spans="1:14" ht="60" customHeight="1" x14ac:dyDescent="0.35">
      <c r="A19" s="11" t="s">
        <v>104</v>
      </c>
      <c r="B19" s="1" t="s">
        <v>105</v>
      </c>
      <c r="C19" s="2" t="s">
        <v>27</v>
      </c>
      <c r="D19" s="3" t="s">
        <v>17</v>
      </c>
      <c r="E19" s="4" t="s">
        <v>18</v>
      </c>
      <c r="F19" s="4" t="s">
        <v>19</v>
      </c>
      <c r="G19" s="4" t="s">
        <v>20</v>
      </c>
      <c r="H19" s="4" t="s">
        <v>21</v>
      </c>
      <c r="I19" s="5" t="s">
        <v>21</v>
      </c>
      <c r="J19" s="1" t="s">
        <v>106</v>
      </c>
      <c r="K19" s="1" t="s">
        <v>107</v>
      </c>
      <c r="L19" s="1" t="s">
        <v>108</v>
      </c>
      <c r="M19" s="4" t="str">
        <f t="shared" si="0"/>
        <v>Outstanding</v>
      </c>
      <c r="N19" s="13" t="s">
        <v>21</v>
      </c>
    </row>
    <row r="20" spans="1:14" ht="60" customHeight="1" x14ac:dyDescent="0.35">
      <c r="A20" s="11" t="s">
        <v>109</v>
      </c>
      <c r="B20" s="1" t="s">
        <v>110</v>
      </c>
      <c r="C20" s="2" t="s">
        <v>27</v>
      </c>
      <c r="D20" s="3" t="s">
        <v>17</v>
      </c>
      <c r="E20" s="4" t="s">
        <v>18</v>
      </c>
      <c r="F20" s="4" t="s">
        <v>19</v>
      </c>
      <c r="G20" s="4" t="s">
        <v>20</v>
      </c>
      <c r="H20" s="4" t="s">
        <v>21</v>
      </c>
      <c r="I20" s="5" t="s">
        <v>21</v>
      </c>
      <c r="J20" s="1" t="s">
        <v>111</v>
      </c>
      <c r="K20" s="1" t="s">
        <v>112</v>
      </c>
      <c r="L20" s="1" t="s">
        <v>113</v>
      </c>
      <c r="M20" s="4" t="str">
        <f t="shared" si="0"/>
        <v>Outstanding</v>
      </c>
      <c r="N20" s="13" t="s">
        <v>21</v>
      </c>
    </row>
    <row r="21" spans="1:14" ht="60" customHeight="1" x14ac:dyDescent="0.35">
      <c r="A21" s="11" t="s">
        <v>114</v>
      </c>
      <c r="B21" s="1" t="s">
        <v>115</v>
      </c>
      <c r="C21" s="2" t="s">
        <v>16</v>
      </c>
      <c r="D21" s="3" t="s">
        <v>17</v>
      </c>
      <c r="E21" s="4" t="s">
        <v>18</v>
      </c>
      <c r="F21" s="4" t="s">
        <v>19</v>
      </c>
      <c r="G21" s="4" t="s">
        <v>20</v>
      </c>
      <c r="H21" s="4" t="s">
        <v>21</v>
      </c>
      <c r="I21" s="5" t="s">
        <v>21</v>
      </c>
      <c r="J21" s="1" t="s">
        <v>116</v>
      </c>
      <c r="K21" s="1" t="s">
        <v>117</v>
      </c>
      <c r="L21" s="1" t="s">
        <v>118</v>
      </c>
      <c r="M21" s="4" t="str">
        <f t="shared" si="0"/>
        <v>Outstanding</v>
      </c>
      <c r="N21" s="13" t="s">
        <v>21</v>
      </c>
    </row>
    <row r="22" spans="1:14" ht="60" customHeight="1" x14ac:dyDescent="0.35">
      <c r="A22" s="11" t="s">
        <v>119</v>
      </c>
      <c r="B22" s="1" t="s">
        <v>120</v>
      </c>
      <c r="C22" s="2" t="s">
        <v>16</v>
      </c>
      <c r="D22" s="3" t="s">
        <v>17</v>
      </c>
      <c r="E22" s="4" t="s">
        <v>18</v>
      </c>
      <c r="F22" s="4" t="s">
        <v>19</v>
      </c>
      <c r="G22" s="4" t="s">
        <v>20</v>
      </c>
      <c r="H22" s="4" t="s">
        <v>21</v>
      </c>
      <c r="I22" s="5" t="s">
        <v>21</v>
      </c>
      <c r="J22" s="1" t="s">
        <v>121</v>
      </c>
      <c r="K22" s="1" t="s">
        <v>122</v>
      </c>
      <c r="L22" s="1" t="s">
        <v>123</v>
      </c>
      <c r="M22" s="4" t="str">
        <f t="shared" si="0"/>
        <v>Outstanding</v>
      </c>
      <c r="N22" s="13" t="s">
        <v>21</v>
      </c>
    </row>
    <row r="23" spans="1:14" ht="60" customHeight="1" x14ac:dyDescent="0.35">
      <c r="A23" s="11" t="s">
        <v>124</v>
      </c>
      <c r="B23" s="1" t="s">
        <v>125</v>
      </c>
      <c r="C23" s="2" t="s">
        <v>27</v>
      </c>
      <c r="D23" s="3" t="s">
        <v>17</v>
      </c>
      <c r="E23" s="4" t="s">
        <v>18</v>
      </c>
      <c r="F23" s="4" t="s">
        <v>19</v>
      </c>
      <c r="G23" s="4" t="s">
        <v>20</v>
      </c>
      <c r="H23" s="4" t="s">
        <v>21</v>
      </c>
      <c r="I23" s="5" t="s">
        <v>21</v>
      </c>
      <c r="J23" s="1" t="s">
        <v>126</v>
      </c>
      <c r="K23" s="1" t="s">
        <v>127</v>
      </c>
      <c r="L23" s="1" t="s">
        <v>128</v>
      </c>
      <c r="M23" s="4" t="str">
        <f t="shared" si="0"/>
        <v>Outstanding</v>
      </c>
      <c r="N23" s="13" t="s">
        <v>21</v>
      </c>
    </row>
    <row r="24" spans="1:14" ht="60" customHeight="1" x14ac:dyDescent="0.35">
      <c r="A24" s="11" t="s">
        <v>129</v>
      </c>
      <c r="B24" s="1" t="s">
        <v>130</v>
      </c>
      <c r="C24" s="2" t="s">
        <v>16</v>
      </c>
      <c r="D24" s="3" t="s">
        <v>17</v>
      </c>
      <c r="E24" s="4" t="s">
        <v>18</v>
      </c>
      <c r="F24" s="4" t="s">
        <v>19</v>
      </c>
      <c r="G24" s="4" t="s">
        <v>20</v>
      </c>
      <c r="H24" s="4" t="s">
        <v>21</v>
      </c>
      <c r="I24" s="5" t="s">
        <v>21</v>
      </c>
      <c r="J24" s="1" t="s">
        <v>131</v>
      </c>
      <c r="K24" s="1" t="s">
        <v>132</v>
      </c>
      <c r="L24" s="1" t="s">
        <v>133</v>
      </c>
      <c r="M24" s="4" t="str">
        <f t="shared" si="0"/>
        <v>Outstanding</v>
      </c>
      <c r="N24" s="13" t="s">
        <v>21</v>
      </c>
    </row>
    <row r="25" spans="1:14" ht="60" customHeight="1" x14ac:dyDescent="0.35">
      <c r="A25" s="11" t="s">
        <v>134</v>
      </c>
      <c r="B25" s="1" t="s">
        <v>135</v>
      </c>
      <c r="C25" s="2" t="s">
        <v>16</v>
      </c>
      <c r="D25" s="3" t="s">
        <v>17</v>
      </c>
      <c r="E25" s="4" t="s">
        <v>18</v>
      </c>
      <c r="F25" s="4" t="s">
        <v>19</v>
      </c>
      <c r="G25" s="4" t="s">
        <v>20</v>
      </c>
      <c r="H25" s="4" t="s">
        <v>21</v>
      </c>
      <c r="I25" s="5" t="s">
        <v>21</v>
      </c>
      <c r="J25" s="1" t="s">
        <v>136</v>
      </c>
      <c r="K25" s="1" t="s">
        <v>137</v>
      </c>
      <c r="L25" s="1" t="s">
        <v>138</v>
      </c>
      <c r="M25" s="4" t="str">
        <f t="shared" si="0"/>
        <v>Outstanding</v>
      </c>
      <c r="N25" s="13" t="s">
        <v>21</v>
      </c>
    </row>
    <row r="26" spans="1:14" ht="60" customHeight="1" x14ac:dyDescent="0.35">
      <c r="A26" s="11" t="s">
        <v>139</v>
      </c>
      <c r="B26" s="1" t="s">
        <v>140</v>
      </c>
      <c r="C26" s="2" t="s">
        <v>16</v>
      </c>
      <c r="D26" s="3" t="s">
        <v>17</v>
      </c>
      <c r="E26" s="4" t="s">
        <v>18</v>
      </c>
      <c r="F26" s="4" t="s">
        <v>19</v>
      </c>
      <c r="G26" s="4" t="s">
        <v>20</v>
      </c>
      <c r="H26" s="4" t="s">
        <v>21</v>
      </c>
      <c r="I26" s="5" t="s">
        <v>21</v>
      </c>
      <c r="J26" s="1" t="s">
        <v>141</v>
      </c>
      <c r="K26" s="1" t="s">
        <v>142</v>
      </c>
      <c r="L26" s="1" t="s">
        <v>143</v>
      </c>
      <c r="M26" s="4" t="str">
        <f t="shared" si="0"/>
        <v>Outstanding</v>
      </c>
      <c r="N26" s="13" t="s">
        <v>21</v>
      </c>
    </row>
    <row r="27" spans="1:14" ht="60" customHeight="1" x14ac:dyDescent="0.35">
      <c r="A27" s="11" t="s">
        <v>144</v>
      </c>
      <c r="B27" s="1" t="s">
        <v>145</v>
      </c>
      <c r="C27" s="2" t="s">
        <v>27</v>
      </c>
      <c r="D27" s="3" t="s">
        <v>17</v>
      </c>
      <c r="E27" s="4" t="s">
        <v>18</v>
      </c>
      <c r="F27" s="4" t="s">
        <v>19</v>
      </c>
      <c r="G27" s="4" t="s">
        <v>20</v>
      </c>
      <c r="H27" s="4" t="s">
        <v>21</v>
      </c>
      <c r="I27" s="5" t="s">
        <v>21</v>
      </c>
      <c r="J27" s="1" t="s">
        <v>146</v>
      </c>
      <c r="K27" s="1" t="s">
        <v>147</v>
      </c>
      <c r="L27" s="1" t="s">
        <v>148</v>
      </c>
      <c r="M27" s="4" t="str">
        <f t="shared" si="0"/>
        <v>Outstanding</v>
      </c>
      <c r="N27" s="13" t="s">
        <v>21</v>
      </c>
    </row>
    <row r="28" spans="1:14" ht="60" customHeight="1" x14ac:dyDescent="0.35">
      <c r="A28" s="11" t="s">
        <v>149</v>
      </c>
      <c r="B28" s="1" t="s">
        <v>150</v>
      </c>
      <c r="C28" s="2" t="s">
        <v>27</v>
      </c>
      <c r="D28" s="3" t="s">
        <v>17</v>
      </c>
      <c r="E28" s="4" t="s">
        <v>18</v>
      </c>
      <c r="F28" s="4" t="s">
        <v>19</v>
      </c>
      <c r="G28" s="4" t="s">
        <v>20</v>
      </c>
      <c r="H28" s="4" t="s">
        <v>21</v>
      </c>
      <c r="I28" s="5" t="s">
        <v>21</v>
      </c>
      <c r="J28" s="1" t="s">
        <v>151</v>
      </c>
      <c r="K28" s="1" t="s">
        <v>152</v>
      </c>
      <c r="L28" s="1" t="s">
        <v>153</v>
      </c>
      <c r="M28" s="4" t="str">
        <f t="shared" si="0"/>
        <v>Outstanding</v>
      </c>
      <c r="N28" s="13" t="s">
        <v>21</v>
      </c>
    </row>
    <row r="29" spans="1:14" ht="60" customHeight="1" x14ac:dyDescent="0.35">
      <c r="A29" s="11" t="s">
        <v>154</v>
      </c>
      <c r="B29" s="1" t="s">
        <v>155</v>
      </c>
      <c r="C29" s="2" t="s">
        <v>16</v>
      </c>
      <c r="D29" s="3" t="s">
        <v>17</v>
      </c>
      <c r="E29" s="4" t="s">
        <v>18</v>
      </c>
      <c r="F29" s="4" t="s">
        <v>19</v>
      </c>
      <c r="G29" s="4" t="s">
        <v>20</v>
      </c>
      <c r="H29" s="4" t="s">
        <v>21</v>
      </c>
      <c r="I29" s="5" t="s">
        <v>21</v>
      </c>
      <c r="J29" s="1" t="s">
        <v>156</v>
      </c>
      <c r="K29" s="1" t="s">
        <v>157</v>
      </c>
      <c r="L29" s="1" t="s">
        <v>158</v>
      </c>
      <c r="M29" s="4" t="str">
        <f t="shared" si="0"/>
        <v>Outstanding</v>
      </c>
      <c r="N29" s="13" t="s">
        <v>21</v>
      </c>
    </row>
    <row r="30" spans="1:14" ht="60" customHeight="1" x14ac:dyDescent="0.35">
      <c r="A30" s="11" t="s">
        <v>159</v>
      </c>
      <c r="B30" s="1" t="s">
        <v>160</v>
      </c>
      <c r="C30" s="2" t="s">
        <v>16</v>
      </c>
      <c r="D30" s="3" t="s">
        <v>17</v>
      </c>
      <c r="E30" s="4" t="s">
        <v>18</v>
      </c>
      <c r="F30" s="4" t="s">
        <v>19</v>
      </c>
      <c r="G30" s="4" t="s">
        <v>20</v>
      </c>
      <c r="H30" s="4" t="s">
        <v>21</v>
      </c>
      <c r="I30" s="5" t="s">
        <v>21</v>
      </c>
      <c r="J30" s="1" t="s">
        <v>161</v>
      </c>
      <c r="K30" s="1" t="s">
        <v>162</v>
      </c>
      <c r="L30" s="1" t="s">
        <v>163</v>
      </c>
      <c r="M30" s="4" t="str">
        <f t="shared" si="0"/>
        <v>Outstanding</v>
      </c>
      <c r="N30" s="13" t="s">
        <v>21</v>
      </c>
    </row>
    <row r="31" spans="1:14" ht="60" customHeight="1" x14ac:dyDescent="0.35">
      <c r="A31" s="11" t="s">
        <v>164</v>
      </c>
      <c r="B31" s="1" t="s">
        <v>165</v>
      </c>
      <c r="C31" s="2" t="s">
        <v>27</v>
      </c>
      <c r="D31" s="3" t="s">
        <v>17</v>
      </c>
      <c r="E31" s="4" t="s">
        <v>18</v>
      </c>
      <c r="F31" s="4" t="s">
        <v>19</v>
      </c>
      <c r="G31" s="4" t="s">
        <v>20</v>
      </c>
      <c r="H31" s="4" t="s">
        <v>21</v>
      </c>
      <c r="I31" s="5" t="s">
        <v>21</v>
      </c>
      <c r="J31" s="1" t="s">
        <v>166</v>
      </c>
      <c r="K31" s="1" t="s">
        <v>167</v>
      </c>
      <c r="L31" s="1" t="s">
        <v>168</v>
      </c>
      <c r="M31" s="4" t="str">
        <f t="shared" si="0"/>
        <v>Outstanding</v>
      </c>
      <c r="N31" s="13" t="s">
        <v>21</v>
      </c>
    </row>
    <row r="32" spans="1:14" ht="60" customHeight="1" x14ac:dyDescent="0.35">
      <c r="A32" s="11" t="s">
        <v>169</v>
      </c>
      <c r="B32" s="1" t="s">
        <v>170</v>
      </c>
      <c r="C32" s="2" t="s">
        <v>16</v>
      </c>
      <c r="D32" s="3" t="s">
        <v>17</v>
      </c>
      <c r="E32" s="4" t="s">
        <v>18</v>
      </c>
      <c r="F32" s="4" t="s">
        <v>19</v>
      </c>
      <c r="G32" s="4" t="s">
        <v>20</v>
      </c>
      <c r="H32" s="4" t="s">
        <v>21</v>
      </c>
      <c r="I32" s="5" t="s">
        <v>21</v>
      </c>
      <c r="J32" s="1" t="s">
        <v>171</v>
      </c>
      <c r="K32" s="1" t="s">
        <v>172</v>
      </c>
      <c r="L32" s="1" t="s">
        <v>173</v>
      </c>
      <c r="M32" s="4" t="str">
        <f t="shared" si="0"/>
        <v>Outstanding</v>
      </c>
      <c r="N32" s="13" t="s">
        <v>21</v>
      </c>
    </row>
    <row r="33" spans="1:14" ht="60" customHeight="1" x14ac:dyDescent="0.35">
      <c r="A33" s="11" t="s">
        <v>174</v>
      </c>
      <c r="B33" s="1" t="s">
        <v>175</v>
      </c>
      <c r="C33" s="2" t="s">
        <v>16</v>
      </c>
      <c r="D33" s="3" t="s">
        <v>17</v>
      </c>
      <c r="E33" s="4" t="s">
        <v>18</v>
      </c>
      <c r="F33" s="4" t="s">
        <v>19</v>
      </c>
      <c r="G33" s="4" t="s">
        <v>20</v>
      </c>
      <c r="H33" s="4" t="s">
        <v>21</v>
      </c>
      <c r="I33" s="5" t="s">
        <v>21</v>
      </c>
      <c r="J33" s="1" t="s">
        <v>176</v>
      </c>
      <c r="K33" s="1" t="s">
        <v>177</v>
      </c>
      <c r="L33" s="1" t="s">
        <v>178</v>
      </c>
      <c r="M33" s="4" t="str">
        <f t="shared" si="0"/>
        <v>Outstanding</v>
      </c>
      <c r="N33" s="13" t="s">
        <v>21</v>
      </c>
    </row>
    <row r="34" spans="1:14" ht="60" customHeight="1" x14ac:dyDescent="0.35">
      <c r="A34" s="11" t="s">
        <v>179</v>
      </c>
      <c r="B34" s="1" t="s">
        <v>180</v>
      </c>
      <c r="C34" s="2" t="s">
        <v>16</v>
      </c>
      <c r="D34" s="3" t="s">
        <v>17</v>
      </c>
      <c r="E34" s="4" t="s">
        <v>18</v>
      </c>
      <c r="F34" s="4" t="s">
        <v>19</v>
      </c>
      <c r="G34" s="4" t="s">
        <v>20</v>
      </c>
      <c r="H34" s="4" t="s">
        <v>21</v>
      </c>
      <c r="I34" s="5" t="s">
        <v>21</v>
      </c>
      <c r="J34" s="1" t="s">
        <v>176</v>
      </c>
      <c r="K34" s="1" t="s">
        <v>181</v>
      </c>
      <c r="L34" s="1" t="s">
        <v>182</v>
      </c>
      <c r="M34" s="4" t="str">
        <f t="shared" si="0"/>
        <v>Outstanding</v>
      </c>
      <c r="N34" s="13" t="s">
        <v>21</v>
      </c>
    </row>
    <row r="35" spans="1:14" ht="60" customHeight="1" x14ac:dyDescent="0.35">
      <c r="A35" s="11" t="s">
        <v>183</v>
      </c>
      <c r="B35" s="1" t="s">
        <v>184</v>
      </c>
      <c r="C35" s="2" t="s">
        <v>16</v>
      </c>
      <c r="D35" s="3" t="s">
        <v>17</v>
      </c>
      <c r="E35" s="4" t="s">
        <v>18</v>
      </c>
      <c r="F35" s="4" t="s">
        <v>19</v>
      </c>
      <c r="G35" s="4" t="s">
        <v>20</v>
      </c>
      <c r="H35" s="4" t="s">
        <v>21</v>
      </c>
      <c r="I35" s="5" t="s">
        <v>21</v>
      </c>
      <c r="J35" s="1" t="s">
        <v>185</v>
      </c>
      <c r="K35" s="1" t="s">
        <v>186</v>
      </c>
      <c r="L35" s="1" t="s">
        <v>187</v>
      </c>
      <c r="M35" s="4" t="str">
        <f t="shared" si="0"/>
        <v>Outstanding</v>
      </c>
      <c r="N35" s="13" t="s">
        <v>21</v>
      </c>
    </row>
    <row r="36" spans="1:14" ht="60" customHeight="1" x14ac:dyDescent="0.35">
      <c r="A36" s="11" t="s">
        <v>188</v>
      </c>
      <c r="B36" s="1" t="s">
        <v>189</v>
      </c>
      <c r="C36" s="2" t="s">
        <v>16</v>
      </c>
      <c r="D36" s="3" t="s">
        <v>17</v>
      </c>
      <c r="E36" s="4" t="s">
        <v>18</v>
      </c>
      <c r="F36" s="4" t="s">
        <v>19</v>
      </c>
      <c r="G36" s="4" t="s">
        <v>20</v>
      </c>
      <c r="H36" s="4" t="s">
        <v>21</v>
      </c>
      <c r="I36" s="5" t="s">
        <v>21</v>
      </c>
      <c r="J36" s="1" t="s">
        <v>190</v>
      </c>
      <c r="K36" s="1" t="s">
        <v>191</v>
      </c>
      <c r="L36" s="1" t="s">
        <v>192</v>
      </c>
      <c r="M36" s="4" t="str">
        <f t="shared" si="0"/>
        <v>Outstanding</v>
      </c>
      <c r="N36" s="13" t="s">
        <v>21</v>
      </c>
    </row>
    <row r="37" spans="1:14" ht="60" customHeight="1" x14ac:dyDescent="0.35">
      <c r="A37" s="11" t="s">
        <v>193</v>
      </c>
      <c r="B37" s="1" t="s">
        <v>194</v>
      </c>
      <c r="C37" s="2" t="s">
        <v>16</v>
      </c>
      <c r="D37" s="3" t="s">
        <v>17</v>
      </c>
      <c r="E37" s="4" t="s">
        <v>18</v>
      </c>
      <c r="F37" s="4" t="s">
        <v>19</v>
      </c>
      <c r="G37" s="4" t="s">
        <v>20</v>
      </c>
      <c r="H37" s="4" t="s">
        <v>21</v>
      </c>
      <c r="I37" s="5" t="s">
        <v>21</v>
      </c>
      <c r="J37" s="1" t="s">
        <v>195</v>
      </c>
      <c r="K37" s="1" t="s">
        <v>196</v>
      </c>
      <c r="L37" s="1" t="s">
        <v>197</v>
      </c>
      <c r="M37" s="4" t="str">
        <f t="shared" si="0"/>
        <v>Outstanding</v>
      </c>
      <c r="N37" s="13" t="s">
        <v>21</v>
      </c>
    </row>
    <row r="38" spans="1:14" ht="60" customHeight="1" x14ac:dyDescent="0.35">
      <c r="A38" s="11" t="s">
        <v>198</v>
      </c>
      <c r="B38" s="1" t="s">
        <v>199</v>
      </c>
      <c r="C38" s="2" t="s">
        <v>27</v>
      </c>
      <c r="D38" s="3" t="s">
        <v>17</v>
      </c>
      <c r="E38" s="4" t="s">
        <v>18</v>
      </c>
      <c r="F38" s="4" t="s">
        <v>19</v>
      </c>
      <c r="G38" s="4" t="s">
        <v>20</v>
      </c>
      <c r="H38" s="4" t="s">
        <v>21</v>
      </c>
      <c r="I38" s="5" t="s">
        <v>21</v>
      </c>
      <c r="J38" s="1" t="s">
        <v>200</v>
      </c>
      <c r="K38" s="1" t="s">
        <v>201</v>
      </c>
      <c r="L38" s="1" t="s">
        <v>202</v>
      </c>
      <c r="M38" s="4" t="str">
        <f t="shared" si="0"/>
        <v>Outstanding</v>
      </c>
      <c r="N38" s="13" t="s">
        <v>21</v>
      </c>
    </row>
    <row r="39" spans="1:14" ht="60" customHeight="1" x14ac:dyDescent="0.35">
      <c r="A39" s="11" t="s">
        <v>203</v>
      </c>
      <c r="B39" s="1" t="s">
        <v>204</v>
      </c>
      <c r="C39" s="2" t="s">
        <v>16</v>
      </c>
      <c r="D39" s="3" t="s">
        <v>17</v>
      </c>
      <c r="E39" s="4" t="s">
        <v>18</v>
      </c>
      <c r="F39" s="4" t="s">
        <v>19</v>
      </c>
      <c r="G39" s="4" t="s">
        <v>20</v>
      </c>
      <c r="H39" s="4" t="s">
        <v>21</v>
      </c>
      <c r="I39" s="5" t="s">
        <v>21</v>
      </c>
      <c r="J39" s="1" t="s">
        <v>205</v>
      </c>
      <c r="K39" s="1" t="s">
        <v>206</v>
      </c>
      <c r="L39" s="1" t="s">
        <v>207</v>
      </c>
      <c r="M39" s="4" t="str">
        <f t="shared" si="0"/>
        <v>Outstanding</v>
      </c>
      <c r="N39" s="13" t="s">
        <v>21</v>
      </c>
    </row>
    <row r="40" spans="1:14" ht="60" customHeight="1" x14ac:dyDescent="0.35">
      <c r="A40" s="11" t="s">
        <v>208</v>
      </c>
      <c r="B40" s="1" t="s">
        <v>209</v>
      </c>
      <c r="C40" s="2" t="s">
        <v>27</v>
      </c>
      <c r="D40" s="3" t="s">
        <v>17</v>
      </c>
      <c r="E40" s="4" t="s">
        <v>18</v>
      </c>
      <c r="F40" s="4" t="s">
        <v>19</v>
      </c>
      <c r="G40" s="4" t="s">
        <v>20</v>
      </c>
      <c r="H40" s="4" t="s">
        <v>21</v>
      </c>
      <c r="I40" s="5" t="s">
        <v>21</v>
      </c>
      <c r="J40" s="1" t="s">
        <v>210</v>
      </c>
      <c r="K40" s="1" t="s">
        <v>211</v>
      </c>
      <c r="L40" s="1" t="s">
        <v>212</v>
      </c>
      <c r="M40" s="4" t="str">
        <f t="shared" si="0"/>
        <v>Outstanding</v>
      </c>
      <c r="N40" s="13" t="s">
        <v>21</v>
      </c>
    </row>
    <row r="41" spans="1:14" ht="60" customHeight="1" x14ac:dyDescent="0.35">
      <c r="A41" s="11" t="s">
        <v>213</v>
      </c>
      <c r="B41" s="1" t="s">
        <v>214</v>
      </c>
      <c r="C41" s="2" t="s">
        <v>27</v>
      </c>
      <c r="D41" s="3" t="s">
        <v>17</v>
      </c>
      <c r="E41" s="4" t="s">
        <v>18</v>
      </c>
      <c r="F41" s="4" t="s">
        <v>19</v>
      </c>
      <c r="G41" s="4" t="s">
        <v>20</v>
      </c>
      <c r="H41" s="4" t="s">
        <v>21</v>
      </c>
      <c r="I41" s="5" t="s">
        <v>21</v>
      </c>
      <c r="J41" s="1" t="s">
        <v>215</v>
      </c>
      <c r="K41" s="1" t="s">
        <v>216</v>
      </c>
      <c r="L41" s="1" t="s">
        <v>217</v>
      </c>
      <c r="M41" s="4" t="str">
        <f t="shared" si="0"/>
        <v>Outstanding</v>
      </c>
      <c r="N41" s="13" t="s">
        <v>21</v>
      </c>
    </row>
    <row r="42" spans="1:14" ht="60" customHeight="1" x14ac:dyDescent="0.35">
      <c r="A42" s="11" t="s">
        <v>218</v>
      </c>
      <c r="B42" s="1" t="s">
        <v>219</v>
      </c>
      <c r="C42" s="2" t="s">
        <v>16</v>
      </c>
      <c r="D42" s="3" t="s">
        <v>17</v>
      </c>
      <c r="E42" s="4" t="s">
        <v>18</v>
      </c>
      <c r="F42" s="4" t="s">
        <v>19</v>
      </c>
      <c r="G42" s="4" t="s">
        <v>20</v>
      </c>
      <c r="H42" s="4" t="s">
        <v>21</v>
      </c>
      <c r="I42" s="5" t="s">
        <v>21</v>
      </c>
      <c r="J42" s="1" t="s">
        <v>220</v>
      </c>
      <c r="K42" s="1" t="s">
        <v>221</v>
      </c>
      <c r="L42" s="1" t="s">
        <v>222</v>
      </c>
      <c r="M42" s="4" t="str">
        <f t="shared" si="0"/>
        <v>Outstanding</v>
      </c>
      <c r="N42" s="13" t="s">
        <v>21</v>
      </c>
    </row>
    <row r="43" spans="1:14" ht="60" customHeight="1" x14ac:dyDescent="0.35">
      <c r="A43" s="11" t="s">
        <v>223</v>
      </c>
      <c r="B43" s="1" t="s">
        <v>224</v>
      </c>
      <c r="C43" s="2" t="s">
        <v>16</v>
      </c>
      <c r="D43" s="3" t="s">
        <v>17</v>
      </c>
      <c r="E43" s="4" t="s">
        <v>18</v>
      </c>
      <c r="F43" s="4" t="s">
        <v>19</v>
      </c>
      <c r="G43" s="4" t="s">
        <v>20</v>
      </c>
      <c r="H43" s="4" t="s">
        <v>21</v>
      </c>
      <c r="I43" s="5" t="s">
        <v>21</v>
      </c>
      <c r="J43" s="1" t="s">
        <v>225</v>
      </c>
      <c r="K43" s="1" t="s">
        <v>226</v>
      </c>
      <c r="L43" s="1" t="s">
        <v>227</v>
      </c>
      <c r="M43" s="4" t="str">
        <f t="shared" si="0"/>
        <v>Outstanding</v>
      </c>
      <c r="N43" s="13" t="s">
        <v>21</v>
      </c>
    </row>
    <row r="44" spans="1:14" ht="60" customHeight="1" x14ac:dyDescent="0.35">
      <c r="A44" s="11" t="s">
        <v>228</v>
      </c>
      <c r="B44" s="1" t="s">
        <v>229</v>
      </c>
      <c r="C44" s="2" t="s">
        <v>16</v>
      </c>
      <c r="D44" s="3" t="s">
        <v>17</v>
      </c>
      <c r="E44" s="4" t="s">
        <v>18</v>
      </c>
      <c r="F44" s="4" t="s">
        <v>19</v>
      </c>
      <c r="G44" s="4" t="s">
        <v>20</v>
      </c>
      <c r="H44" s="4" t="s">
        <v>21</v>
      </c>
      <c r="I44" s="5" t="s">
        <v>21</v>
      </c>
      <c r="J44" s="1" t="s">
        <v>230</v>
      </c>
      <c r="K44" s="1" t="s">
        <v>231</v>
      </c>
      <c r="L44" s="1" t="s">
        <v>232</v>
      </c>
      <c r="M44" s="4" t="str">
        <f t="shared" si="0"/>
        <v>Outstanding</v>
      </c>
      <c r="N44" s="13" t="s">
        <v>21</v>
      </c>
    </row>
    <row r="45" spans="1:14" ht="60" customHeight="1" x14ac:dyDescent="0.35">
      <c r="A45" s="11" t="s">
        <v>233</v>
      </c>
      <c r="B45" s="1" t="s">
        <v>234</v>
      </c>
      <c r="C45" s="2" t="s">
        <v>27</v>
      </c>
      <c r="D45" s="3" t="s">
        <v>17</v>
      </c>
      <c r="E45" s="4" t="s">
        <v>18</v>
      </c>
      <c r="F45" s="4" t="s">
        <v>19</v>
      </c>
      <c r="G45" s="4" t="s">
        <v>20</v>
      </c>
      <c r="H45" s="4" t="s">
        <v>21</v>
      </c>
      <c r="I45" s="5" t="s">
        <v>21</v>
      </c>
      <c r="J45" s="1" t="s">
        <v>235</v>
      </c>
      <c r="K45" s="1" t="s">
        <v>236</v>
      </c>
      <c r="L45" s="1" t="s">
        <v>237</v>
      </c>
      <c r="M45" s="4" t="str">
        <f t="shared" si="0"/>
        <v>Outstanding</v>
      </c>
      <c r="N45" s="13" t="s">
        <v>21</v>
      </c>
    </row>
    <row r="46" spans="1:14" ht="60" customHeight="1" x14ac:dyDescent="0.35">
      <c r="A46" s="11" t="s">
        <v>238</v>
      </c>
      <c r="B46" s="1" t="s">
        <v>239</v>
      </c>
      <c r="C46" s="2" t="s">
        <v>16</v>
      </c>
      <c r="D46" s="3" t="s">
        <v>17</v>
      </c>
      <c r="E46" s="4" t="s">
        <v>18</v>
      </c>
      <c r="F46" s="4" t="s">
        <v>19</v>
      </c>
      <c r="G46" s="4" t="s">
        <v>20</v>
      </c>
      <c r="H46" s="4" t="s">
        <v>21</v>
      </c>
      <c r="I46" s="5" t="s">
        <v>21</v>
      </c>
      <c r="J46" s="1" t="s">
        <v>240</v>
      </c>
      <c r="K46" s="1" t="s">
        <v>241</v>
      </c>
      <c r="L46" s="1" t="s">
        <v>242</v>
      </c>
      <c r="M46" s="4" t="str">
        <f t="shared" si="0"/>
        <v>Outstanding</v>
      </c>
      <c r="N46" s="13" t="s">
        <v>21</v>
      </c>
    </row>
    <row r="47" spans="1:14" ht="60" customHeight="1" x14ac:dyDescent="0.35">
      <c r="A47" s="11" t="s">
        <v>243</v>
      </c>
      <c r="B47" s="1" t="s">
        <v>244</v>
      </c>
      <c r="C47" s="2" t="s">
        <v>16</v>
      </c>
      <c r="D47" s="3" t="s">
        <v>17</v>
      </c>
      <c r="E47" s="4" t="s">
        <v>18</v>
      </c>
      <c r="F47" s="4" t="s">
        <v>19</v>
      </c>
      <c r="G47" s="4" t="s">
        <v>20</v>
      </c>
      <c r="H47" s="4" t="s">
        <v>21</v>
      </c>
      <c r="I47" s="5" t="s">
        <v>21</v>
      </c>
      <c r="J47" s="1" t="s">
        <v>245</v>
      </c>
      <c r="K47" s="1" t="s">
        <v>246</v>
      </c>
      <c r="L47" s="1" t="s">
        <v>247</v>
      </c>
      <c r="M47" s="4" t="str">
        <f t="shared" si="0"/>
        <v>Outstanding</v>
      </c>
      <c r="N47" s="13" t="s">
        <v>21</v>
      </c>
    </row>
    <row r="48" spans="1:14" ht="60" customHeight="1" x14ac:dyDescent="0.35">
      <c r="A48" s="11" t="s">
        <v>248</v>
      </c>
      <c r="B48" s="1" t="s">
        <v>249</v>
      </c>
      <c r="C48" s="2" t="s">
        <v>70</v>
      </c>
      <c r="D48" s="3" t="s">
        <v>17</v>
      </c>
      <c r="E48" s="4" t="s">
        <v>18</v>
      </c>
      <c r="F48" s="4" t="s">
        <v>19</v>
      </c>
      <c r="G48" s="4" t="s">
        <v>20</v>
      </c>
      <c r="H48" s="4" t="s">
        <v>21</v>
      </c>
      <c r="I48" s="5" t="s">
        <v>21</v>
      </c>
      <c r="J48" s="1" t="s">
        <v>250</v>
      </c>
      <c r="K48" s="1" t="s">
        <v>251</v>
      </c>
      <c r="L48" s="1" t="s">
        <v>252</v>
      </c>
      <c r="M48" s="4" t="str">
        <f t="shared" si="0"/>
        <v>Outstanding</v>
      </c>
      <c r="N48" s="13" t="s">
        <v>21</v>
      </c>
    </row>
    <row r="49" spans="1:14" ht="60" customHeight="1" x14ac:dyDescent="0.35">
      <c r="A49" s="11" t="s">
        <v>253</v>
      </c>
      <c r="B49" s="1" t="s">
        <v>254</v>
      </c>
      <c r="C49" s="2" t="s">
        <v>16</v>
      </c>
      <c r="D49" s="3" t="s">
        <v>17</v>
      </c>
      <c r="E49" s="4" t="s">
        <v>18</v>
      </c>
      <c r="F49" s="4" t="s">
        <v>19</v>
      </c>
      <c r="G49" s="4" t="s">
        <v>20</v>
      </c>
      <c r="H49" s="4" t="s">
        <v>21</v>
      </c>
      <c r="I49" s="5" t="s">
        <v>21</v>
      </c>
      <c r="J49" s="1" t="s">
        <v>255</v>
      </c>
      <c r="K49" s="1" t="s">
        <v>256</v>
      </c>
      <c r="L49" s="1" t="s">
        <v>257</v>
      </c>
      <c r="M49" s="4" t="str">
        <f t="shared" si="0"/>
        <v>Outstanding</v>
      </c>
      <c r="N49" s="13" t="s">
        <v>21</v>
      </c>
    </row>
    <row r="50" spans="1:14" ht="60" customHeight="1" x14ac:dyDescent="0.35">
      <c r="A50" s="11" t="s">
        <v>258</v>
      </c>
      <c r="B50" s="1" t="s">
        <v>259</v>
      </c>
      <c r="C50" s="2" t="s">
        <v>16</v>
      </c>
      <c r="D50" s="3" t="s">
        <v>17</v>
      </c>
      <c r="E50" s="4" t="s">
        <v>18</v>
      </c>
      <c r="F50" s="4" t="s">
        <v>19</v>
      </c>
      <c r="G50" s="4" t="s">
        <v>20</v>
      </c>
      <c r="H50" s="4" t="s">
        <v>21</v>
      </c>
      <c r="I50" s="5" t="s">
        <v>21</v>
      </c>
      <c r="J50" s="1" t="s">
        <v>260</v>
      </c>
      <c r="K50" s="1" t="s">
        <v>261</v>
      </c>
      <c r="L50" s="1" t="s">
        <v>262</v>
      </c>
      <c r="M50" s="4" t="str">
        <f t="shared" si="0"/>
        <v>Outstanding</v>
      </c>
      <c r="N50" s="13" t="s">
        <v>21</v>
      </c>
    </row>
    <row r="51" spans="1:14" ht="60" customHeight="1" x14ac:dyDescent="0.35">
      <c r="A51" s="11" t="s">
        <v>263</v>
      </c>
      <c r="B51" s="1" t="s">
        <v>264</v>
      </c>
      <c r="C51" s="2" t="s">
        <v>27</v>
      </c>
      <c r="D51" s="3" t="s">
        <v>17</v>
      </c>
      <c r="E51" s="4" t="s">
        <v>18</v>
      </c>
      <c r="F51" s="4" t="s">
        <v>19</v>
      </c>
      <c r="G51" s="4" t="s">
        <v>20</v>
      </c>
      <c r="H51" s="4" t="s">
        <v>21</v>
      </c>
      <c r="I51" s="5" t="s">
        <v>21</v>
      </c>
      <c r="J51" s="1" t="s">
        <v>265</v>
      </c>
      <c r="K51" s="1" t="s">
        <v>266</v>
      </c>
      <c r="L51" s="1" t="s">
        <v>267</v>
      </c>
      <c r="M51" s="4" t="str">
        <f t="shared" si="0"/>
        <v>Outstanding</v>
      </c>
      <c r="N51" s="13" t="s">
        <v>21</v>
      </c>
    </row>
    <row r="52" spans="1:14" ht="60" customHeight="1" x14ac:dyDescent="0.35">
      <c r="A52" s="11" t="s">
        <v>268</v>
      </c>
      <c r="B52" s="1" t="s">
        <v>269</v>
      </c>
      <c r="C52" s="2" t="s">
        <v>16</v>
      </c>
      <c r="D52" s="3" t="s">
        <v>17</v>
      </c>
      <c r="E52" s="4" t="s">
        <v>18</v>
      </c>
      <c r="F52" s="4" t="s">
        <v>19</v>
      </c>
      <c r="G52" s="4" t="s">
        <v>20</v>
      </c>
      <c r="H52" s="4" t="s">
        <v>21</v>
      </c>
      <c r="I52" s="5" t="s">
        <v>21</v>
      </c>
      <c r="J52" s="1" t="s">
        <v>270</v>
      </c>
      <c r="K52" s="1" t="s">
        <v>271</v>
      </c>
      <c r="L52" s="1" t="s">
        <v>272</v>
      </c>
      <c r="M52" s="4" t="str">
        <f t="shared" si="0"/>
        <v>Outstanding</v>
      </c>
      <c r="N52" s="13" t="s">
        <v>21</v>
      </c>
    </row>
    <row r="53" spans="1:14" ht="60" customHeight="1" x14ac:dyDescent="0.35">
      <c r="A53" s="11" t="s">
        <v>273</v>
      </c>
      <c r="B53" s="1" t="s">
        <v>274</v>
      </c>
      <c r="C53" s="2" t="s">
        <v>27</v>
      </c>
      <c r="D53" s="3" t="s">
        <v>17</v>
      </c>
      <c r="E53" s="4" t="s">
        <v>18</v>
      </c>
      <c r="F53" s="4" t="s">
        <v>19</v>
      </c>
      <c r="G53" s="4" t="s">
        <v>20</v>
      </c>
      <c r="H53" s="4" t="s">
        <v>21</v>
      </c>
      <c r="I53" s="5" t="s">
        <v>21</v>
      </c>
      <c r="J53" s="1" t="s">
        <v>275</v>
      </c>
      <c r="K53" s="1" t="s">
        <v>276</v>
      </c>
      <c r="L53" s="1" t="s">
        <v>277</v>
      </c>
      <c r="M53" s="4" t="str">
        <f t="shared" si="0"/>
        <v>Outstanding</v>
      </c>
      <c r="N53" s="13" t="s">
        <v>21</v>
      </c>
    </row>
    <row r="54" spans="1:14" ht="60" customHeight="1" x14ac:dyDescent="0.35">
      <c r="A54" s="11" t="s">
        <v>278</v>
      </c>
      <c r="B54" s="1" t="s">
        <v>279</v>
      </c>
      <c r="C54" s="2" t="s">
        <v>27</v>
      </c>
      <c r="D54" s="3" t="s">
        <v>17</v>
      </c>
      <c r="E54" s="4" t="s">
        <v>18</v>
      </c>
      <c r="F54" s="4" t="s">
        <v>19</v>
      </c>
      <c r="G54" s="4" t="s">
        <v>20</v>
      </c>
      <c r="H54" s="4" t="s">
        <v>21</v>
      </c>
      <c r="I54" s="5" t="s">
        <v>21</v>
      </c>
      <c r="J54" s="1" t="s">
        <v>280</v>
      </c>
      <c r="K54" s="1" t="s">
        <v>281</v>
      </c>
      <c r="L54" s="1" t="s">
        <v>282</v>
      </c>
      <c r="M54" s="4" t="str">
        <f t="shared" si="0"/>
        <v>Outstanding</v>
      </c>
      <c r="N54" s="13" t="s">
        <v>21</v>
      </c>
    </row>
    <row r="55" spans="1:14" ht="60" customHeight="1" x14ac:dyDescent="0.35">
      <c r="A55" s="11" t="s">
        <v>283</v>
      </c>
      <c r="B55" s="1" t="s">
        <v>284</v>
      </c>
      <c r="C55" s="2" t="s">
        <v>16</v>
      </c>
      <c r="D55" s="3" t="s">
        <v>17</v>
      </c>
      <c r="E55" s="4" t="s">
        <v>18</v>
      </c>
      <c r="F55" s="4" t="s">
        <v>19</v>
      </c>
      <c r="G55" s="4" t="s">
        <v>20</v>
      </c>
      <c r="H55" s="4" t="s">
        <v>21</v>
      </c>
      <c r="I55" s="5" t="s">
        <v>21</v>
      </c>
      <c r="J55" s="1" t="s">
        <v>285</v>
      </c>
      <c r="K55" s="1" t="s">
        <v>286</v>
      </c>
      <c r="L55" s="1" t="s">
        <v>287</v>
      </c>
      <c r="M55" s="4" t="str">
        <f t="shared" si="0"/>
        <v>Outstanding</v>
      </c>
      <c r="N55" s="13" t="s">
        <v>21</v>
      </c>
    </row>
    <row r="56" spans="1:14" ht="60" customHeight="1" x14ac:dyDescent="0.35">
      <c r="A56" s="11" t="s">
        <v>288</v>
      </c>
      <c r="B56" s="1" t="s">
        <v>289</v>
      </c>
      <c r="C56" s="2" t="s">
        <v>16</v>
      </c>
      <c r="D56" s="3" t="s">
        <v>17</v>
      </c>
      <c r="E56" s="4" t="s">
        <v>18</v>
      </c>
      <c r="F56" s="4" t="s">
        <v>19</v>
      </c>
      <c r="G56" s="4" t="s">
        <v>20</v>
      </c>
      <c r="H56" s="4" t="s">
        <v>21</v>
      </c>
      <c r="I56" s="5" t="s">
        <v>21</v>
      </c>
      <c r="J56" s="1" t="s">
        <v>290</v>
      </c>
      <c r="K56" s="1" t="s">
        <v>291</v>
      </c>
      <c r="L56" s="1" t="s">
        <v>292</v>
      </c>
      <c r="M56" s="4" t="str">
        <f t="shared" si="0"/>
        <v>Outstanding</v>
      </c>
      <c r="N56" s="13" t="s">
        <v>21</v>
      </c>
    </row>
    <row r="57" spans="1:14" ht="60" customHeight="1" x14ac:dyDescent="0.35">
      <c r="A57" s="11" t="s">
        <v>293</v>
      </c>
      <c r="B57" s="1" t="s">
        <v>294</v>
      </c>
      <c r="C57" s="2" t="s">
        <v>27</v>
      </c>
      <c r="D57" s="3" t="s">
        <v>17</v>
      </c>
      <c r="E57" s="4" t="s">
        <v>18</v>
      </c>
      <c r="F57" s="4" t="s">
        <v>19</v>
      </c>
      <c r="G57" s="4" t="s">
        <v>20</v>
      </c>
      <c r="H57" s="4" t="s">
        <v>21</v>
      </c>
      <c r="I57" s="5" t="s">
        <v>21</v>
      </c>
      <c r="J57" s="1" t="s">
        <v>295</v>
      </c>
      <c r="K57" s="1" t="s">
        <v>296</v>
      </c>
      <c r="L57" s="1" t="s">
        <v>297</v>
      </c>
      <c r="M57" s="4" t="str">
        <f t="shared" si="0"/>
        <v>Outstanding</v>
      </c>
      <c r="N57" s="13" t="s">
        <v>21</v>
      </c>
    </row>
    <row r="58" spans="1:14" ht="60" customHeight="1" x14ac:dyDescent="0.35">
      <c r="A58" s="11" t="s">
        <v>298</v>
      </c>
      <c r="B58" s="1" t="s">
        <v>299</v>
      </c>
      <c r="C58" s="2" t="s">
        <v>16</v>
      </c>
      <c r="D58" s="3" t="s">
        <v>17</v>
      </c>
      <c r="E58" s="4" t="s">
        <v>18</v>
      </c>
      <c r="F58" s="4" t="s">
        <v>19</v>
      </c>
      <c r="G58" s="4" t="s">
        <v>20</v>
      </c>
      <c r="H58" s="4" t="s">
        <v>21</v>
      </c>
      <c r="I58" s="5" t="s">
        <v>21</v>
      </c>
      <c r="J58" s="1" t="s">
        <v>300</v>
      </c>
      <c r="K58" s="1" t="s">
        <v>301</v>
      </c>
      <c r="L58" s="1" t="s">
        <v>302</v>
      </c>
      <c r="M58" s="4" t="str">
        <f t="shared" si="0"/>
        <v>Outstanding</v>
      </c>
      <c r="N58" s="13" t="s">
        <v>21</v>
      </c>
    </row>
    <row r="59" spans="1:14" ht="60" customHeight="1" x14ac:dyDescent="0.35">
      <c r="A59" s="11" t="s">
        <v>303</v>
      </c>
      <c r="B59" s="1" t="s">
        <v>304</v>
      </c>
      <c r="C59" s="2" t="s">
        <v>70</v>
      </c>
      <c r="D59" s="3" t="s">
        <v>17</v>
      </c>
      <c r="E59" s="4" t="s">
        <v>18</v>
      </c>
      <c r="F59" s="4" t="s">
        <v>19</v>
      </c>
      <c r="G59" s="4" t="s">
        <v>20</v>
      </c>
      <c r="H59" s="4" t="s">
        <v>21</v>
      </c>
      <c r="I59" s="5" t="s">
        <v>21</v>
      </c>
      <c r="J59" s="1" t="s">
        <v>305</v>
      </c>
      <c r="K59" s="1" t="s">
        <v>306</v>
      </c>
      <c r="L59" s="1" t="s">
        <v>307</v>
      </c>
      <c r="M59" s="4" t="str">
        <f t="shared" si="0"/>
        <v>Outstanding</v>
      </c>
      <c r="N59" s="13" t="s">
        <v>21</v>
      </c>
    </row>
    <row r="60" spans="1:14" ht="60" customHeight="1" x14ac:dyDescent="0.35">
      <c r="A60" s="11" t="s">
        <v>308</v>
      </c>
      <c r="B60" s="1" t="s">
        <v>309</v>
      </c>
      <c r="C60" s="2" t="s">
        <v>16</v>
      </c>
      <c r="D60" s="3" t="s">
        <v>17</v>
      </c>
      <c r="E60" s="4" t="s">
        <v>18</v>
      </c>
      <c r="F60" s="4" t="s">
        <v>19</v>
      </c>
      <c r="G60" s="4" t="s">
        <v>20</v>
      </c>
      <c r="H60" s="4" t="s">
        <v>21</v>
      </c>
      <c r="I60" s="5" t="s">
        <v>21</v>
      </c>
      <c r="J60" s="1" t="s">
        <v>310</v>
      </c>
      <c r="K60" s="1" t="s">
        <v>311</v>
      </c>
      <c r="L60" s="1" t="s">
        <v>312</v>
      </c>
      <c r="M60" s="4" t="str">
        <f t="shared" si="0"/>
        <v>Outstanding</v>
      </c>
      <c r="N60" s="13" t="s">
        <v>21</v>
      </c>
    </row>
    <row r="61" spans="1:14" ht="60" customHeight="1" x14ac:dyDescent="0.35">
      <c r="A61" s="11" t="s">
        <v>313</v>
      </c>
      <c r="B61" s="1" t="s">
        <v>314</v>
      </c>
      <c r="C61" s="2" t="s">
        <v>16</v>
      </c>
      <c r="D61" s="3" t="s">
        <v>17</v>
      </c>
      <c r="E61" s="4" t="s">
        <v>18</v>
      </c>
      <c r="F61" s="4" t="s">
        <v>19</v>
      </c>
      <c r="G61" s="4" t="s">
        <v>20</v>
      </c>
      <c r="H61" s="4" t="s">
        <v>21</v>
      </c>
      <c r="I61" s="5" t="s">
        <v>21</v>
      </c>
      <c r="J61" s="1" t="s">
        <v>315</v>
      </c>
      <c r="K61" s="1" t="s">
        <v>316</v>
      </c>
      <c r="L61" s="1" t="s">
        <v>317</v>
      </c>
      <c r="M61" s="4" t="str">
        <f t="shared" si="0"/>
        <v>Outstanding</v>
      </c>
      <c r="N61" s="13" t="s">
        <v>21</v>
      </c>
    </row>
    <row r="62" spans="1:14" ht="60" customHeight="1" x14ac:dyDescent="0.35">
      <c r="A62" s="11" t="s">
        <v>318</v>
      </c>
      <c r="B62" s="1" t="s">
        <v>319</v>
      </c>
      <c r="C62" s="2" t="s">
        <v>16</v>
      </c>
      <c r="D62" s="3" t="s">
        <v>17</v>
      </c>
      <c r="E62" s="4" t="s">
        <v>18</v>
      </c>
      <c r="F62" s="4" t="s">
        <v>19</v>
      </c>
      <c r="G62" s="4" t="s">
        <v>20</v>
      </c>
      <c r="H62" s="4" t="s">
        <v>21</v>
      </c>
      <c r="I62" s="5" t="s">
        <v>21</v>
      </c>
      <c r="J62" s="1" t="s">
        <v>320</v>
      </c>
      <c r="K62" s="1" t="s">
        <v>321</v>
      </c>
      <c r="L62" s="1" t="s">
        <v>322</v>
      </c>
      <c r="M62" s="4" t="str">
        <f t="shared" si="0"/>
        <v>Outstanding</v>
      </c>
      <c r="N62" s="13" t="s">
        <v>21</v>
      </c>
    </row>
    <row r="63" spans="1:14" ht="60" customHeight="1" x14ac:dyDescent="0.35">
      <c r="A63" s="11" t="s">
        <v>323</v>
      </c>
      <c r="B63" s="1" t="s">
        <v>324</v>
      </c>
      <c r="C63" s="2" t="s">
        <v>16</v>
      </c>
      <c r="D63" s="3" t="s">
        <v>17</v>
      </c>
      <c r="E63" s="4" t="s">
        <v>18</v>
      </c>
      <c r="F63" s="4" t="s">
        <v>19</v>
      </c>
      <c r="G63" s="4" t="s">
        <v>20</v>
      </c>
      <c r="H63" s="4" t="s">
        <v>21</v>
      </c>
      <c r="I63" s="5" t="s">
        <v>21</v>
      </c>
      <c r="J63" s="1" t="s">
        <v>325</v>
      </c>
      <c r="K63" s="1" t="s">
        <v>326</v>
      </c>
      <c r="L63" s="1" t="s">
        <v>327</v>
      </c>
      <c r="M63" s="4" t="str">
        <f t="shared" si="0"/>
        <v>Outstanding</v>
      </c>
      <c r="N63" s="13" t="s">
        <v>21</v>
      </c>
    </row>
    <row r="64" spans="1:14" ht="60" customHeight="1" x14ac:dyDescent="0.35">
      <c r="A64" s="11" t="s">
        <v>328</v>
      </c>
      <c r="B64" s="1" t="s">
        <v>329</v>
      </c>
      <c r="C64" s="2" t="s">
        <v>16</v>
      </c>
      <c r="D64" s="3" t="s">
        <v>17</v>
      </c>
      <c r="E64" s="4" t="s">
        <v>18</v>
      </c>
      <c r="F64" s="4" t="s">
        <v>19</v>
      </c>
      <c r="G64" s="4" t="s">
        <v>20</v>
      </c>
      <c r="H64" s="4" t="s">
        <v>21</v>
      </c>
      <c r="I64" s="5" t="s">
        <v>21</v>
      </c>
      <c r="J64" s="1" t="s">
        <v>330</v>
      </c>
      <c r="K64" s="1" t="s">
        <v>331</v>
      </c>
      <c r="L64" s="1" t="s">
        <v>332</v>
      </c>
      <c r="M64" s="4" t="str">
        <f t="shared" si="0"/>
        <v>Outstanding</v>
      </c>
      <c r="N64" s="13" t="s">
        <v>21</v>
      </c>
    </row>
    <row r="65" spans="1:14" ht="60" customHeight="1" x14ac:dyDescent="0.35">
      <c r="A65" s="11" t="s">
        <v>333</v>
      </c>
      <c r="B65" s="1" t="s">
        <v>334</v>
      </c>
      <c r="C65" s="2" t="s">
        <v>16</v>
      </c>
      <c r="D65" s="3" t="s">
        <v>17</v>
      </c>
      <c r="E65" s="4" t="s">
        <v>18</v>
      </c>
      <c r="F65" s="4" t="s">
        <v>19</v>
      </c>
      <c r="G65" s="4" t="s">
        <v>20</v>
      </c>
      <c r="H65" s="4" t="s">
        <v>21</v>
      </c>
      <c r="I65" s="5" t="s">
        <v>21</v>
      </c>
      <c r="J65" s="1" t="s">
        <v>335</v>
      </c>
      <c r="K65" s="1" t="s">
        <v>336</v>
      </c>
      <c r="L65" s="1" t="s">
        <v>337</v>
      </c>
      <c r="M65" s="4" t="str">
        <f t="shared" si="0"/>
        <v>Outstanding</v>
      </c>
      <c r="N65" s="13" t="s">
        <v>21</v>
      </c>
    </row>
    <row r="66" spans="1:14" ht="60" customHeight="1" x14ac:dyDescent="0.35">
      <c r="A66" s="11" t="s">
        <v>338</v>
      </c>
      <c r="B66" s="1" t="s">
        <v>339</v>
      </c>
      <c r="C66" s="2" t="s">
        <v>27</v>
      </c>
      <c r="D66" s="3" t="s">
        <v>17</v>
      </c>
      <c r="E66" s="4" t="s">
        <v>18</v>
      </c>
      <c r="F66" s="4" t="s">
        <v>19</v>
      </c>
      <c r="G66" s="4" t="s">
        <v>20</v>
      </c>
      <c r="H66" s="4" t="s">
        <v>21</v>
      </c>
      <c r="I66" s="5" t="s">
        <v>21</v>
      </c>
      <c r="J66" s="1" t="s">
        <v>340</v>
      </c>
      <c r="K66" s="1" t="s">
        <v>341</v>
      </c>
      <c r="L66" s="1" t="s">
        <v>342</v>
      </c>
      <c r="M66" s="4" t="str">
        <f t="shared" si="0"/>
        <v>Outstanding</v>
      </c>
      <c r="N66" s="13" t="s">
        <v>21</v>
      </c>
    </row>
    <row r="67" spans="1:14" ht="60" customHeight="1" x14ac:dyDescent="0.35">
      <c r="A67" s="11" t="s">
        <v>343</v>
      </c>
      <c r="B67" s="1" t="s">
        <v>344</v>
      </c>
      <c r="C67" s="2" t="s">
        <v>16</v>
      </c>
      <c r="D67" s="3" t="s">
        <v>17</v>
      </c>
      <c r="E67" s="4" t="s">
        <v>18</v>
      </c>
      <c r="F67" s="4" t="s">
        <v>19</v>
      </c>
      <c r="G67" s="4" t="s">
        <v>20</v>
      </c>
      <c r="H67" s="4" t="s">
        <v>21</v>
      </c>
      <c r="I67" s="5" t="s">
        <v>21</v>
      </c>
      <c r="J67" s="1" t="s">
        <v>345</v>
      </c>
      <c r="K67" s="1" t="s">
        <v>346</v>
      </c>
      <c r="L67" s="1" t="s">
        <v>347</v>
      </c>
      <c r="M67" s="4" t="str">
        <f t="shared" si="0"/>
        <v>Outstanding</v>
      </c>
      <c r="N67" s="13" t="s">
        <v>21</v>
      </c>
    </row>
    <row r="68" spans="1:14" ht="60" customHeight="1" x14ac:dyDescent="0.35">
      <c r="A68" s="11" t="s">
        <v>348</v>
      </c>
      <c r="B68" s="1" t="s">
        <v>349</v>
      </c>
      <c r="C68" s="2" t="s">
        <v>16</v>
      </c>
      <c r="D68" s="3" t="s">
        <v>17</v>
      </c>
      <c r="E68" s="4" t="s">
        <v>18</v>
      </c>
      <c r="F68" s="4" t="s">
        <v>19</v>
      </c>
      <c r="G68" s="4" t="s">
        <v>20</v>
      </c>
      <c r="H68" s="4" t="s">
        <v>21</v>
      </c>
      <c r="I68" s="5" t="s">
        <v>21</v>
      </c>
      <c r="J68" s="1" t="s">
        <v>350</v>
      </c>
      <c r="K68" s="1" t="s">
        <v>351</v>
      </c>
      <c r="L68" s="1" t="s">
        <v>352</v>
      </c>
      <c r="M68" s="4" t="str">
        <f t="shared" si="0"/>
        <v>Outstanding</v>
      </c>
      <c r="N68" s="13" t="s">
        <v>21</v>
      </c>
    </row>
    <row r="69" spans="1:14" ht="60" customHeight="1" x14ac:dyDescent="0.35">
      <c r="A69" s="11" t="s">
        <v>353</v>
      </c>
      <c r="B69" s="1" t="s">
        <v>354</v>
      </c>
      <c r="C69" s="2" t="s">
        <v>70</v>
      </c>
      <c r="D69" s="3" t="s">
        <v>17</v>
      </c>
      <c r="E69" s="4" t="s">
        <v>18</v>
      </c>
      <c r="F69" s="4" t="s">
        <v>19</v>
      </c>
      <c r="G69" s="4" t="s">
        <v>20</v>
      </c>
      <c r="H69" s="4" t="s">
        <v>21</v>
      </c>
      <c r="I69" s="5" t="s">
        <v>21</v>
      </c>
      <c r="J69" s="1" t="s">
        <v>355</v>
      </c>
      <c r="K69" s="1" t="s">
        <v>356</v>
      </c>
      <c r="L69" s="1" t="s">
        <v>357</v>
      </c>
      <c r="M69" s="4" t="str">
        <f t="shared" si="0"/>
        <v>Outstanding</v>
      </c>
      <c r="N69" s="13" t="s">
        <v>21</v>
      </c>
    </row>
    <row r="70" spans="1:14" ht="60" customHeight="1" x14ac:dyDescent="0.35">
      <c r="A70" s="11" t="s">
        <v>358</v>
      </c>
      <c r="B70" s="1" t="s">
        <v>359</v>
      </c>
      <c r="C70" s="2" t="s">
        <v>70</v>
      </c>
      <c r="D70" s="3" t="s">
        <v>17</v>
      </c>
      <c r="E70" s="4" t="s">
        <v>18</v>
      </c>
      <c r="F70" s="4" t="s">
        <v>19</v>
      </c>
      <c r="G70" s="4" t="s">
        <v>20</v>
      </c>
      <c r="H70" s="4" t="s">
        <v>21</v>
      </c>
      <c r="I70" s="5" t="s">
        <v>21</v>
      </c>
      <c r="J70" s="1" t="s">
        <v>360</v>
      </c>
      <c r="K70" s="1" t="s">
        <v>361</v>
      </c>
      <c r="L70" s="1" t="s">
        <v>362</v>
      </c>
      <c r="M70" s="4" t="str">
        <f t="shared" si="0"/>
        <v>Outstanding</v>
      </c>
      <c r="N70" s="13" t="s">
        <v>21</v>
      </c>
    </row>
    <row r="71" spans="1:14" ht="60" customHeight="1" x14ac:dyDescent="0.35">
      <c r="A71" s="11" t="s">
        <v>363</v>
      </c>
      <c r="B71" s="1" t="s">
        <v>364</v>
      </c>
      <c r="C71" s="2" t="s">
        <v>16</v>
      </c>
      <c r="D71" s="3" t="s">
        <v>17</v>
      </c>
      <c r="E71" s="4" t="s">
        <v>18</v>
      </c>
      <c r="F71" s="4" t="s">
        <v>19</v>
      </c>
      <c r="G71" s="4" t="s">
        <v>20</v>
      </c>
      <c r="H71" s="4" t="s">
        <v>21</v>
      </c>
      <c r="I71" s="5" t="s">
        <v>21</v>
      </c>
      <c r="J71" s="1" t="s">
        <v>365</v>
      </c>
      <c r="K71" s="1" t="s">
        <v>366</v>
      </c>
      <c r="L71" s="1" t="s">
        <v>367</v>
      </c>
      <c r="M71" s="4" t="str">
        <f t="shared" si="0"/>
        <v>Outstanding</v>
      </c>
      <c r="N71" s="13" t="s">
        <v>21</v>
      </c>
    </row>
    <row r="72" spans="1:14" ht="60" customHeight="1" x14ac:dyDescent="0.35">
      <c r="A72" s="11" t="s">
        <v>368</v>
      </c>
      <c r="B72" s="1" t="s">
        <v>369</v>
      </c>
      <c r="C72" s="2" t="s">
        <v>16</v>
      </c>
      <c r="D72" s="3" t="s">
        <v>17</v>
      </c>
      <c r="E72" s="4" t="s">
        <v>18</v>
      </c>
      <c r="F72" s="4" t="s">
        <v>19</v>
      </c>
      <c r="G72" s="4" t="s">
        <v>20</v>
      </c>
      <c r="H72" s="4" t="s">
        <v>21</v>
      </c>
      <c r="I72" s="5" t="s">
        <v>21</v>
      </c>
      <c r="J72" s="1" t="s">
        <v>370</v>
      </c>
      <c r="K72" s="1" t="s">
        <v>371</v>
      </c>
      <c r="L72" s="1" t="s">
        <v>372</v>
      </c>
      <c r="M72" s="4" t="str">
        <f t="shared" si="0"/>
        <v>Outstanding</v>
      </c>
      <c r="N72" s="13" t="s">
        <v>21</v>
      </c>
    </row>
    <row r="73" spans="1:14" ht="60" customHeight="1" x14ac:dyDescent="0.35">
      <c r="A73" s="11" t="s">
        <v>373</v>
      </c>
      <c r="B73" s="1" t="s">
        <v>374</v>
      </c>
      <c r="C73" s="2" t="s">
        <v>27</v>
      </c>
      <c r="D73" s="3" t="s">
        <v>17</v>
      </c>
      <c r="E73" s="4" t="s">
        <v>18</v>
      </c>
      <c r="F73" s="4" t="s">
        <v>19</v>
      </c>
      <c r="G73" s="4" t="s">
        <v>20</v>
      </c>
      <c r="H73" s="4" t="s">
        <v>21</v>
      </c>
      <c r="I73" s="5" t="s">
        <v>21</v>
      </c>
      <c r="J73" s="1" t="s">
        <v>375</v>
      </c>
      <c r="K73" s="1" t="s">
        <v>201</v>
      </c>
      <c r="L73" s="1" t="s">
        <v>376</v>
      </c>
      <c r="M73" s="4" t="str">
        <f t="shared" si="0"/>
        <v>Outstanding</v>
      </c>
      <c r="N73" s="13" t="s">
        <v>21</v>
      </c>
    </row>
    <row r="74" spans="1:14" ht="60" customHeight="1" x14ac:dyDescent="0.35">
      <c r="A74" s="11" t="s">
        <v>377</v>
      </c>
      <c r="B74" s="1" t="s">
        <v>378</v>
      </c>
      <c r="C74" s="2" t="s">
        <v>16</v>
      </c>
      <c r="D74" s="3" t="s">
        <v>379</v>
      </c>
      <c r="E74" s="4" t="s">
        <v>18</v>
      </c>
      <c r="F74" s="4" t="s">
        <v>19</v>
      </c>
      <c r="G74" s="4" t="s">
        <v>20</v>
      </c>
      <c r="H74" s="4" t="s">
        <v>21</v>
      </c>
      <c r="I74" s="5" t="s">
        <v>21</v>
      </c>
      <c r="J74" s="1" t="s">
        <v>380</v>
      </c>
      <c r="K74" s="1" t="s">
        <v>381</v>
      </c>
      <c r="L74" s="1" t="s">
        <v>382</v>
      </c>
      <c r="M74" s="4" t="str">
        <f t="shared" si="0"/>
        <v>Outstanding</v>
      </c>
      <c r="N74" s="13" t="s">
        <v>21</v>
      </c>
    </row>
    <row r="75" spans="1:14" ht="60" customHeight="1" x14ac:dyDescent="0.35">
      <c r="A75" s="11" t="s">
        <v>383</v>
      </c>
      <c r="B75" s="1" t="s">
        <v>384</v>
      </c>
      <c r="C75" s="2" t="s">
        <v>16</v>
      </c>
      <c r="D75" s="3" t="s">
        <v>379</v>
      </c>
      <c r="E75" s="4" t="s">
        <v>18</v>
      </c>
      <c r="F75" s="4" t="s">
        <v>19</v>
      </c>
      <c r="G75" s="4" t="s">
        <v>20</v>
      </c>
      <c r="H75" s="4" t="s">
        <v>21</v>
      </c>
      <c r="I75" s="5" t="s">
        <v>21</v>
      </c>
      <c r="J75" s="1" t="s">
        <v>385</v>
      </c>
      <c r="K75" s="1" t="s">
        <v>386</v>
      </c>
      <c r="L75" s="1" t="s">
        <v>387</v>
      </c>
      <c r="M75" s="4" t="str">
        <f t="shared" si="0"/>
        <v>Outstanding</v>
      </c>
      <c r="N75" s="13" t="s">
        <v>21</v>
      </c>
    </row>
    <row r="76" spans="1:14" ht="60" customHeight="1" x14ac:dyDescent="0.35">
      <c r="A76" s="11" t="s">
        <v>388</v>
      </c>
      <c r="B76" s="1" t="s">
        <v>389</v>
      </c>
      <c r="C76" s="2" t="s">
        <v>16</v>
      </c>
      <c r="D76" s="3" t="s">
        <v>379</v>
      </c>
      <c r="E76" s="4" t="s">
        <v>18</v>
      </c>
      <c r="F76" s="4" t="s">
        <v>19</v>
      </c>
      <c r="G76" s="4" t="s">
        <v>20</v>
      </c>
      <c r="H76" s="4" t="s">
        <v>21</v>
      </c>
      <c r="I76" s="5" t="s">
        <v>21</v>
      </c>
      <c r="J76" s="1" t="s">
        <v>390</v>
      </c>
      <c r="K76" s="1" t="s">
        <v>391</v>
      </c>
      <c r="L76" s="1" t="s">
        <v>392</v>
      </c>
      <c r="M76" s="4" t="str">
        <f t="shared" si="0"/>
        <v>Outstanding</v>
      </c>
      <c r="N76" s="13" t="s">
        <v>21</v>
      </c>
    </row>
    <row r="77" spans="1:14" ht="60" customHeight="1" x14ac:dyDescent="0.35">
      <c r="A77" s="11" t="s">
        <v>393</v>
      </c>
      <c r="B77" s="1" t="s">
        <v>394</v>
      </c>
      <c r="C77" s="2" t="s">
        <v>16</v>
      </c>
      <c r="D77" s="3" t="s">
        <v>379</v>
      </c>
      <c r="E77" s="4" t="s">
        <v>18</v>
      </c>
      <c r="F77" s="4" t="s">
        <v>19</v>
      </c>
      <c r="G77" s="4" t="s">
        <v>20</v>
      </c>
      <c r="H77" s="4" t="s">
        <v>21</v>
      </c>
      <c r="I77" s="5" t="s">
        <v>21</v>
      </c>
      <c r="J77" s="1" t="s">
        <v>395</v>
      </c>
      <c r="K77" s="1" t="s">
        <v>396</v>
      </c>
      <c r="L77" s="1" t="s">
        <v>397</v>
      </c>
      <c r="M77" s="4" t="str">
        <f t="shared" si="0"/>
        <v>Outstanding</v>
      </c>
      <c r="N77" s="13" t="s">
        <v>21</v>
      </c>
    </row>
    <row r="78" spans="1:14" ht="60" customHeight="1" x14ac:dyDescent="0.35">
      <c r="A78" s="11" t="s">
        <v>398</v>
      </c>
      <c r="B78" s="1" t="s">
        <v>399</v>
      </c>
      <c r="C78" s="2" t="s">
        <v>16</v>
      </c>
      <c r="D78" s="3" t="s">
        <v>379</v>
      </c>
      <c r="E78" s="4" t="s">
        <v>18</v>
      </c>
      <c r="F78" s="4" t="s">
        <v>19</v>
      </c>
      <c r="G78" s="4" t="s">
        <v>20</v>
      </c>
      <c r="H78" s="4" t="s">
        <v>21</v>
      </c>
      <c r="I78" s="5" t="s">
        <v>21</v>
      </c>
      <c r="J78" s="1" t="s">
        <v>400</v>
      </c>
      <c r="K78" s="1" t="s">
        <v>401</v>
      </c>
      <c r="L78" s="1" t="s">
        <v>402</v>
      </c>
      <c r="M78" s="4" t="str">
        <f t="shared" si="0"/>
        <v>Outstanding</v>
      </c>
      <c r="N78" s="13" t="s">
        <v>21</v>
      </c>
    </row>
    <row r="79" spans="1:14" ht="60" customHeight="1" x14ac:dyDescent="0.35">
      <c r="A79" s="11" t="s">
        <v>403</v>
      </c>
      <c r="B79" s="1" t="s">
        <v>404</v>
      </c>
      <c r="C79" s="2" t="s">
        <v>16</v>
      </c>
      <c r="D79" s="3" t="s">
        <v>379</v>
      </c>
      <c r="E79" s="4" t="s">
        <v>18</v>
      </c>
      <c r="F79" s="4" t="s">
        <v>19</v>
      </c>
      <c r="G79" s="4" t="s">
        <v>20</v>
      </c>
      <c r="H79" s="4" t="s">
        <v>21</v>
      </c>
      <c r="I79" s="5" t="s">
        <v>21</v>
      </c>
      <c r="J79" s="1" t="s">
        <v>405</v>
      </c>
      <c r="K79" s="1" t="s">
        <v>406</v>
      </c>
      <c r="L79" s="1" t="s">
        <v>407</v>
      </c>
      <c r="M79" s="4" t="str">
        <f t="shared" si="0"/>
        <v>Outstanding</v>
      </c>
      <c r="N79" s="13" t="s">
        <v>21</v>
      </c>
    </row>
    <row r="80" spans="1:14" ht="60" customHeight="1" x14ac:dyDescent="0.35">
      <c r="A80" s="11" t="s">
        <v>408</v>
      </c>
      <c r="B80" s="1" t="s">
        <v>409</v>
      </c>
      <c r="C80" s="2" t="s">
        <v>27</v>
      </c>
      <c r="D80" s="3" t="s">
        <v>379</v>
      </c>
      <c r="E80" s="4" t="s">
        <v>18</v>
      </c>
      <c r="F80" s="4" t="s">
        <v>19</v>
      </c>
      <c r="G80" s="4" t="s">
        <v>20</v>
      </c>
      <c r="H80" s="4" t="s">
        <v>21</v>
      </c>
      <c r="I80" s="5" t="s">
        <v>21</v>
      </c>
      <c r="J80" s="1" t="s">
        <v>410</v>
      </c>
      <c r="K80" s="1" t="s">
        <v>411</v>
      </c>
      <c r="L80" s="1" t="s">
        <v>412</v>
      </c>
      <c r="M80" s="4" t="str">
        <f t="shared" si="0"/>
        <v>Outstanding</v>
      </c>
      <c r="N80" s="13" t="s">
        <v>21</v>
      </c>
    </row>
    <row r="81" spans="1:14" ht="60" customHeight="1" x14ac:dyDescent="0.35">
      <c r="A81" s="11" t="s">
        <v>413</v>
      </c>
      <c r="B81" s="1" t="s">
        <v>414</v>
      </c>
      <c r="C81" s="2" t="s">
        <v>16</v>
      </c>
      <c r="D81" s="3" t="s">
        <v>379</v>
      </c>
      <c r="E81" s="4" t="s">
        <v>18</v>
      </c>
      <c r="F81" s="4" t="s">
        <v>19</v>
      </c>
      <c r="G81" s="4" t="s">
        <v>20</v>
      </c>
      <c r="H81" s="4" t="s">
        <v>21</v>
      </c>
      <c r="I81" s="5" t="s">
        <v>21</v>
      </c>
      <c r="J81" s="1" t="s">
        <v>415</v>
      </c>
      <c r="K81" s="1" t="s">
        <v>416</v>
      </c>
      <c r="L81" s="1" t="s">
        <v>417</v>
      </c>
      <c r="M81" s="4" t="str">
        <f t="shared" si="0"/>
        <v>Outstanding</v>
      </c>
      <c r="N81" s="13" t="s">
        <v>21</v>
      </c>
    </row>
    <row r="82" spans="1:14" ht="60" customHeight="1" x14ac:dyDescent="0.35">
      <c r="A82" s="11" t="s">
        <v>418</v>
      </c>
      <c r="B82" s="1" t="s">
        <v>419</v>
      </c>
      <c r="C82" s="2" t="s">
        <v>16</v>
      </c>
      <c r="D82" s="3" t="s">
        <v>379</v>
      </c>
      <c r="E82" s="4" t="s">
        <v>18</v>
      </c>
      <c r="F82" s="4" t="s">
        <v>19</v>
      </c>
      <c r="G82" s="4" t="s">
        <v>20</v>
      </c>
      <c r="H82" s="4" t="s">
        <v>21</v>
      </c>
      <c r="I82" s="5" t="s">
        <v>21</v>
      </c>
      <c r="J82" s="1" t="s">
        <v>420</v>
      </c>
      <c r="K82" s="1" t="s">
        <v>421</v>
      </c>
      <c r="L82" s="1" t="s">
        <v>422</v>
      </c>
      <c r="M82" s="4" t="str">
        <f t="shared" si="0"/>
        <v>Outstanding</v>
      </c>
      <c r="N82" s="13" t="s">
        <v>21</v>
      </c>
    </row>
    <row r="83" spans="1:14" ht="60" customHeight="1" x14ac:dyDescent="0.35">
      <c r="A83" s="11" t="s">
        <v>423</v>
      </c>
      <c r="B83" s="1" t="s">
        <v>424</v>
      </c>
      <c r="C83" s="2" t="s">
        <v>27</v>
      </c>
      <c r="D83" s="3" t="s">
        <v>379</v>
      </c>
      <c r="E83" s="4" t="s">
        <v>18</v>
      </c>
      <c r="F83" s="4" t="s">
        <v>19</v>
      </c>
      <c r="G83" s="4" t="s">
        <v>20</v>
      </c>
      <c r="H83" s="4" t="s">
        <v>21</v>
      </c>
      <c r="I83" s="5" t="s">
        <v>21</v>
      </c>
      <c r="J83" s="1" t="s">
        <v>425</v>
      </c>
      <c r="K83" s="1" t="s">
        <v>426</v>
      </c>
      <c r="L83" s="1" t="s">
        <v>427</v>
      </c>
      <c r="M83" s="4" t="str">
        <f t="shared" si="0"/>
        <v>Outstanding</v>
      </c>
      <c r="N83" s="13" t="s">
        <v>21</v>
      </c>
    </row>
    <row r="84" spans="1:14" ht="60" customHeight="1" x14ac:dyDescent="0.35">
      <c r="A84" s="11" t="s">
        <v>428</v>
      </c>
      <c r="B84" s="1" t="s">
        <v>429</v>
      </c>
      <c r="C84" s="2" t="s">
        <v>16</v>
      </c>
      <c r="D84" s="3" t="s">
        <v>379</v>
      </c>
      <c r="E84" s="4" t="s">
        <v>18</v>
      </c>
      <c r="F84" s="4" t="s">
        <v>19</v>
      </c>
      <c r="G84" s="4" t="s">
        <v>20</v>
      </c>
      <c r="H84" s="4" t="s">
        <v>21</v>
      </c>
      <c r="I84" s="5" t="s">
        <v>21</v>
      </c>
      <c r="J84" s="1" t="s">
        <v>430</v>
      </c>
      <c r="K84" s="1" t="s">
        <v>431</v>
      </c>
      <c r="L84" s="1" t="s">
        <v>432</v>
      </c>
      <c r="M84" s="4" t="str">
        <f t="shared" si="0"/>
        <v>Outstanding</v>
      </c>
      <c r="N84" s="13" t="s">
        <v>21</v>
      </c>
    </row>
    <row r="85" spans="1:14" ht="60" customHeight="1" x14ac:dyDescent="0.35">
      <c r="A85" s="11" t="s">
        <v>433</v>
      </c>
      <c r="B85" s="1" t="s">
        <v>434</v>
      </c>
      <c r="C85" s="2" t="s">
        <v>70</v>
      </c>
      <c r="D85" s="3" t="s">
        <v>379</v>
      </c>
      <c r="E85" s="4" t="s">
        <v>18</v>
      </c>
      <c r="F85" s="4" t="s">
        <v>19</v>
      </c>
      <c r="G85" s="4" t="s">
        <v>20</v>
      </c>
      <c r="H85" s="4" t="s">
        <v>21</v>
      </c>
      <c r="I85" s="5" t="s">
        <v>21</v>
      </c>
      <c r="J85" s="1" t="s">
        <v>435</v>
      </c>
      <c r="K85" s="1" t="s">
        <v>436</v>
      </c>
      <c r="L85" s="1" t="s">
        <v>437</v>
      </c>
      <c r="M85" s="4" t="str">
        <f t="shared" si="0"/>
        <v>Outstanding</v>
      </c>
      <c r="N85" s="13" t="s">
        <v>21</v>
      </c>
    </row>
    <row r="86" spans="1:14" ht="60" customHeight="1" x14ac:dyDescent="0.35">
      <c r="A86" s="11" t="s">
        <v>438</v>
      </c>
      <c r="B86" s="1" t="s">
        <v>439</v>
      </c>
      <c r="C86" s="2" t="s">
        <v>16</v>
      </c>
      <c r="D86" s="3" t="s">
        <v>379</v>
      </c>
      <c r="E86" s="4" t="s">
        <v>18</v>
      </c>
      <c r="F86" s="4" t="s">
        <v>19</v>
      </c>
      <c r="G86" s="4" t="s">
        <v>20</v>
      </c>
      <c r="H86" s="4" t="s">
        <v>21</v>
      </c>
      <c r="I86" s="5" t="s">
        <v>21</v>
      </c>
      <c r="J86" s="1" t="s">
        <v>440</v>
      </c>
      <c r="K86" s="1" t="s">
        <v>441</v>
      </c>
      <c r="L86" s="1" t="s">
        <v>442</v>
      </c>
      <c r="M86" s="4" t="str">
        <f t="shared" si="0"/>
        <v>Outstanding</v>
      </c>
      <c r="N86" s="13" t="s">
        <v>21</v>
      </c>
    </row>
    <row r="87" spans="1:14" ht="60" customHeight="1" x14ac:dyDescent="0.35">
      <c r="A87" s="11" t="s">
        <v>443</v>
      </c>
      <c r="B87" s="1" t="s">
        <v>444</v>
      </c>
      <c r="C87" s="2" t="s">
        <v>16</v>
      </c>
      <c r="D87" s="3" t="s">
        <v>379</v>
      </c>
      <c r="E87" s="4" t="s">
        <v>18</v>
      </c>
      <c r="F87" s="4" t="s">
        <v>19</v>
      </c>
      <c r="G87" s="4" t="s">
        <v>20</v>
      </c>
      <c r="H87" s="4" t="s">
        <v>21</v>
      </c>
      <c r="I87" s="5" t="s">
        <v>21</v>
      </c>
      <c r="J87" s="1" t="s">
        <v>445</v>
      </c>
      <c r="K87" s="1" t="s">
        <v>446</v>
      </c>
      <c r="L87" s="1" t="s">
        <v>447</v>
      </c>
      <c r="M87" s="4" t="str">
        <f t="shared" si="0"/>
        <v>Outstanding</v>
      </c>
      <c r="N87" s="13" t="s">
        <v>21</v>
      </c>
    </row>
    <row r="88" spans="1:14" ht="60" customHeight="1" x14ac:dyDescent="0.35">
      <c r="A88" s="11" t="s">
        <v>448</v>
      </c>
      <c r="B88" s="1" t="s">
        <v>449</v>
      </c>
      <c r="C88" s="2" t="s">
        <v>27</v>
      </c>
      <c r="D88" s="3" t="s">
        <v>379</v>
      </c>
      <c r="E88" s="4" t="s">
        <v>18</v>
      </c>
      <c r="F88" s="4" t="s">
        <v>19</v>
      </c>
      <c r="G88" s="4" t="s">
        <v>20</v>
      </c>
      <c r="H88" s="4" t="s">
        <v>21</v>
      </c>
      <c r="I88" s="5" t="s">
        <v>21</v>
      </c>
      <c r="J88" s="1" t="s">
        <v>450</v>
      </c>
      <c r="K88" s="1" t="s">
        <v>451</v>
      </c>
      <c r="L88" s="1" t="s">
        <v>452</v>
      </c>
      <c r="M88" s="4" t="str">
        <f t="shared" si="0"/>
        <v>Outstanding</v>
      </c>
      <c r="N88" s="13" t="s">
        <v>21</v>
      </c>
    </row>
    <row r="89" spans="1:14" ht="60" customHeight="1" x14ac:dyDescent="0.35">
      <c r="A89" s="11" t="s">
        <v>453</v>
      </c>
      <c r="B89" s="1" t="s">
        <v>454</v>
      </c>
      <c r="C89" s="2" t="s">
        <v>16</v>
      </c>
      <c r="D89" s="3" t="s">
        <v>379</v>
      </c>
      <c r="E89" s="4" t="s">
        <v>18</v>
      </c>
      <c r="F89" s="4" t="s">
        <v>19</v>
      </c>
      <c r="G89" s="4" t="s">
        <v>20</v>
      </c>
      <c r="H89" s="4" t="s">
        <v>21</v>
      </c>
      <c r="I89" s="5" t="s">
        <v>21</v>
      </c>
      <c r="J89" s="1" t="s">
        <v>455</v>
      </c>
      <c r="K89" s="1" t="s">
        <v>321</v>
      </c>
      <c r="L89" s="1" t="s">
        <v>456</v>
      </c>
      <c r="M89" s="4" t="str">
        <f t="shared" si="0"/>
        <v>Outstanding</v>
      </c>
      <c r="N89" s="13" t="s">
        <v>21</v>
      </c>
    </row>
    <row r="90" spans="1:14" ht="60" customHeight="1" x14ac:dyDescent="0.35">
      <c r="A90" s="11" t="s">
        <v>457</v>
      </c>
      <c r="B90" s="1" t="s">
        <v>458</v>
      </c>
      <c r="C90" s="2" t="s">
        <v>16</v>
      </c>
      <c r="D90" s="3" t="s">
        <v>379</v>
      </c>
      <c r="E90" s="4" t="s">
        <v>18</v>
      </c>
      <c r="F90" s="4" t="s">
        <v>19</v>
      </c>
      <c r="G90" s="4" t="s">
        <v>20</v>
      </c>
      <c r="H90" s="4" t="s">
        <v>21</v>
      </c>
      <c r="I90" s="5" t="s">
        <v>21</v>
      </c>
      <c r="J90" s="1" t="s">
        <v>459</v>
      </c>
      <c r="K90" s="1" t="s">
        <v>326</v>
      </c>
      <c r="L90" s="1" t="s">
        <v>460</v>
      </c>
      <c r="M90" s="4" t="str">
        <f t="shared" si="0"/>
        <v>Outstanding</v>
      </c>
      <c r="N90" s="13" t="s">
        <v>21</v>
      </c>
    </row>
    <row r="91" spans="1:14" ht="60" customHeight="1" x14ac:dyDescent="0.35">
      <c r="A91" s="11" t="s">
        <v>461</v>
      </c>
      <c r="B91" s="1" t="s">
        <v>462</v>
      </c>
      <c r="C91" s="2" t="s">
        <v>16</v>
      </c>
      <c r="D91" s="3" t="s">
        <v>379</v>
      </c>
      <c r="E91" s="4" t="s">
        <v>18</v>
      </c>
      <c r="F91" s="4" t="s">
        <v>19</v>
      </c>
      <c r="G91" s="4" t="s">
        <v>20</v>
      </c>
      <c r="H91" s="4" t="s">
        <v>21</v>
      </c>
      <c r="I91" s="5" t="s">
        <v>21</v>
      </c>
      <c r="J91" s="1" t="s">
        <v>463</v>
      </c>
      <c r="K91" s="1" t="s">
        <v>331</v>
      </c>
      <c r="L91" s="1" t="s">
        <v>464</v>
      </c>
      <c r="M91" s="4" t="str">
        <f t="shared" si="0"/>
        <v>Outstanding</v>
      </c>
      <c r="N91" s="13" t="s">
        <v>21</v>
      </c>
    </row>
    <row r="92" spans="1:14" ht="60" customHeight="1" x14ac:dyDescent="0.35">
      <c r="A92" s="11" t="s">
        <v>465</v>
      </c>
      <c r="B92" s="1" t="s">
        <v>466</v>
      </c>
      <c r="C92" s="2" t="s">
        <v>16</v>
      </c>
      <c r="D92" s="3" t="s">
        <v>379</v>
      </c>
      <c r="E92" s="4" t="s">
        <v>18</v>
      </c>
      <c r="F92" s="4" t="s">
        <v>19</v>
      </c>
      <c r="G92" s="4" t="s">
        <v>20</v>
      </c>
      <c r="H92" s="4" t="s">
        <v>21</v>
      </c>
      <c r="I92" s="5" t="s">
        <v>21</v>
      </c>
      <c r="J92" s="1" t="s">
        <v>467</v>
      </c>
      <c r="K92" s="1" t="s">
        <v>468</v>
      </c>
      <c r="L92" s="1" t="s">
        <v>469</v>
      </c>
      <c r="M92" s="4" t="str">
        <f t="shared" si="0"/>
        <v>Outstanding</v>
      </c>
      <c r="N92" s="13" t="s">
        <v>21</v>
      </c>
    </row>
    <row r="93" spans="1:14" ht="60" customHeight="1" x14ac:dyDescent="0.35">
      <c r="A93" s="11" t="s">
        <v>470</v>
      </c>
      <c r="B93" s="1" t="s">
        <v>471</v>
      </c>
      <c r="C93" s="2" t="s">
        <v>16</v>
      </c>
      <c r="D93" s="3" t="s">
        <v>379</v>
      </c>
      <c r="E93" s="4" t="s">
        <v>18</v>
      </c>
      <c r="F93" s="4" t="s">
        <v>19</v>
      </c>
      <c r="G93" s="4" t="s">
        <v>20</v>
      </c>
      <c r="H93" s="4" t="s">
        <v>21</v>
      </c>
      <c r="I93" s="5" t="s">
        <v>21</v>
      </c>
      <c r="J93" s="1" t="s">
        <v>472</v>
      </c>
      <c r="K93" s="1" t="s">
        <v>473</v>
      </c>
      <c r="L93" s="1" t="s">
        <v>474</v>
      </c>
      <c r="M93" s="4" t="str">
        <f t="shared" si="0"/>
        <v>Outstanding</v>
      </c>
      <c r="N93" s="13" t="s">
        <v>21</v>
      </c>
    </row>
    <row r="94" spans="1:14" ht="60" customHeight="1" x14ac:dyDescent="0.35">
      <c r="A94" s="11" t="s">
        <v>475</v>
      </c>
      <c r="B94" s="1" t="s">
        <v>476</v>
      </c>
      <c r="C94" s="2" t="s">
        <v>16</v>
      </c>
      <c r="D94" s="3" t="s">
        <v>379</v>
      </c>
      <c r="E94" s="4" t="s">
        <v>18</v>
      </c>
      <c r="F94" s="4" t="s">
        <v>19</v>
      </c>
      <c r="G94" s="4" t="s">
        <v>20</v>
      </c>
      <c r="H94" s="4" t="s">
        <v>21</v>
      </c>
      <c r="I94" s="5" t="s">
        <v>21</v>
      </c>
      <c r="J94" s="1" t="s">
        <v>477</v>
      </c>
      <c r="K94" s="1" t="s">
        <v>478</v>
      </c>
      <c r="L94" s="1" t="s">
        <v>479</v>
      </c>
      <c r="M94" s="4" t="str">
        <f t="shared" si="0"/>
        <v>Outstanding</v>
      </c>
      <c r="N94" s="13" t="s">
        <v>21</v>
      </c>
    </row>
    <row r="95" spans="1:14" ht="60" customHeight="1" x14ac:dyDescent="0.35">
      <c r="A95" s="11" t="s">
        <v>480</v>
      </c>
      <c r="B95" s="1" t="s">
        <v>481</v>
      </c>
      <c r="C95" s="2" t="s">
        <v>16</v>
      </c>
      <c r="D95" s="3" t="s">
        <v>379</v>
      </c>
      <c r="E95" s="4" t="s">
        <v>18</v>
      </c>
      <c r="F95" s="4" t="s">
        <v>19</v>
      </c>
      <c r="G95" s="4" t="s">
        <v>20</v>
      </c>
      <c r="H95" s="4" t="s">
        <v>21</v>
      </c>
      <c r="I95" s="5" t="s">
        <v>21</v>
      </c>
      <c r="J95" s="1" t="s">
        <v>482</v>
      </c>
      <c r="K95" s="1" t="s">
        <v>483</v>
      </c>
      <c r="L95" s="1" t="s">
        <v>484</v>
      </c>
      <c r="M95" s="4" t="str">
        <f t="shared" si="0"/>
        <v>Outstanding</v>
      </c>
      <c r="N95" s="13" t="s">
        <v>21</v>
      </c>
    </row>
    <row r="96" spans="1:14" ht="60" customHeight="1" x14ac:dyDescent="0.35">
      <c r="A96" s="11" t="s">
        <v>485</v>
      </c>
      <c r="B96" s="1" t="s">
        <v>486</v>
      </c>
      <c r="C96" s="2" t="s">
        <v>27</v>
      </c>
      <c r="D96" s="3" t="s">
        <v>379</v>
      </c>
      <c r="E96" s="4" t="s">
        <v>18</v>
      </c>
      <c r="F96" s="4" t="s">
        <v>19</v>
      </c>
      <c r="G96" s="4" t="s">
        <v>20</v>
      </c>
      <c r="H96" s="4" t="s">
        <v>21</v>
      </c>
      <c r="I96" s="5" t="s">
        <v>21</v>
      </c>
      <c r="J96" s="1" t="s">
        <v>487</v>
      </c>
      <c r="K96" s="1" t="s">
        <v>488</v>
      </c>
      <c r="L96" s="1" t="s">
        <v>489</v>
      </c>
      <c r="M96" s="4" t="str">
        <f t="shared" si="0"/>
        <v>Outstanding</v>
      </c>
      <c r="N96" s="13" t="s">
        <v>21</v>
      </c>
    </row>
    <row r="97" spans="1:14" ht="60" customHeight="1" x14ac:dyDescent="0.35">
      <c r="A97" s="11" t="s">
        <v>490</v>
      </c>
      <c r="B97" s="1" t="s">
        <v>491</v>
      </c>
      <c r="C97" s="2" t="s">
        <v>16</v>
      </c>
      <c r="D97" s="3" t="s">
        <v>379</v>
      </c>
      <c r="E97" s="4" t="s">
        <v>18</v>
      </c>
      <c r="F97" s="4" t="s">
        <v>19</v>
      </c>
      <c r="G97" s="4" t="s">
        <v>20</v>
      </c>
      <c r="H97" s="4" t="s">
        <v>21</v>
      </c>
      <c r="I97" s="5" t="s">
        <v>21</v>
      </c>
      <c r="J97" s="1" t="s">
        <v>492</v>
      </c>
      <c r="K97" s="1" t="s">
        <v>493</v>
      </c>
      <c r="L97" s="1" t="s">
        <v>494</v>
      </c>
      <c r="M97" s="4" t="str">
        <f t="shared" si="0"/>
        <v>Outstanding</v>
      </c>
      <c r="N97" s="13" t="s">
        <v>21</v>
      </c>
    </row>
    <row r="98" spans="1:14" ht="60" customHeight="1" x14ac:dyDescent="0.35">
      <c r="A98" s="11" t="s">
        <v>495</v>
      </c>
      <c r="B98" s="1" t="s">
        <v>496</v>
      </c>
      <c r="C98" s="2" t="s">
        <v>70</v>
      </c>
      <c r="D98" s="3" t="s">
        <v>379</v>
      </c>
      <c r="E98" s="4" t="s">
        <v>18</v>
      </c>
      <c r="F98" s="4" t="s">
        <v>19</v>
      </c>
      <c r="G98" s="4" t="s">
        <v>20</v>
      </c>
      <c r="H98" s="4" t="s">
        <v>21</v>
      </c>
      <c r="I98" s="5" t="s">
        <v>21</v>
      </c>
      <c r="J98" s="1" t="s">
        <v>497</v>
      </c>
      <c r="K98" s="1" t="s">
        <v>498</v>
      </c>
      <c r="L98" s="1" t="s">
        <v>499</v>
      </c>
      <c r="M98" s="4" t="str">
        <f t="shared" si="0"/>
        <v>Outstanding</v>
      </c>
      <c r="N98" s="13" t="s">
        <v>21</v>
      </c>
    </row>
    <row r="99" spans="1:14" ht="60" customHeight="1" x14ac:dyDescent="0.35">
      <c r="A99" s="11" t="s">
        <v>500</v>
      </c>
      <c r="B99" s="1" t="s">
        <v>501</v>
      </c>
      <c r="C99" s="2" t="s">
        <v>16</v>
      </c>
      <c r="D99" s="3" t="s">
        <v>379</v>
      </c>
      <c r="E99" s="4" t="s">
        <v>18</v>
      </c>
      <c r="F99" s="4" t="s">
        <v>19</v>
      </c>
      <c r="G99" s="4" t="s">
        <v>20</v>
      </c>
      <c r="H99" s="4" t="s">
        <v>21</v>
      </c>
      <c r="I99" s="5" t="s">
        <v>21</v>
      </c>
      <c r="J99" s="1" t="s">
        <v>502</v>
      </c>
      <c r="K99" s="1" t="s">
        <v>503</v>
      </c>
      <c r="L99" s="1" t="s">
        <v>504</v>
      </c>
      <c r="M99" s="4" t="str">
        <f t="shared" si="0"/>
        <v>Outstanding</v>
      </c>
      <c r="N99" s="13" t="s">
        <v>21</v>
      </c>
    </row>
    <row r="100" spans="1:14" ht="60" customHeight="1" x14ac:dyDescent="0.35">
      <c r="A100" s="11" t="s">
        <v>505</v>
      </c>
      <c r="B100" s="1" t="s">
        <v>506</v>
      </c>
      <c r="C100" s="2" t="s">
        <v>16</v>
      </c>
      <c r="D100" s="3" t="s">
        <v>379</v>
      </c>
      <c r="E100" s="4" t="s">
        <v>18</v>
      </c>
      <c r="F100" s="4" t="s">
        <v>19</v>
      </c>
      <c r="G100" s="4" t="s">
        <v>20</v>
      </c>
      <c r="H100" s="4" t="s">
        <v>21</v>
      </c>
      <c r="I100" s="5" t="s">
        <v>21</v>
      </c>
      <c r="J100" s="1" t="s">
        <v>507</v>
      </c>
      <c r="K100" s="1" t="s">
        <v>508</v>
      </c>
      <c r="L100" s="1" t="s">
        <v>509</v>
      </c>
      <c r="M100" s="4" t="str">
        <f t="shared" si="0"/>
        <v>Outstanding</v>
      </c>
      <c r="N100" s="13" t="s">
        <v>21</v>
      </c>
    </row>
    <row r="101" spans="1:14" ht="60" customHeight="1" x14ac:dyDescent="0.35">
      <c r="A101" s="11" t="s">
        <v>510</v>
      </c>
      <c r="B101" s="1" t="s">
        <v>511</v>
      </c>
      <c r="C101" s="2" t="s">
        <v>16</v>
      </c>
      <c r="D101" s="3" t="s">
        <v>379</v>
      </c>
      <c r="E101" s="4" t="s">
        <v>18</v>
      </c>
      <c r="F101" s="4" t="s">
        <v>19</v>
      </c>
      <c r="G101" s="4" t="s">
        <v>20</v>
      </c>
      <c r="H101" s="4" t="s">
        <v>21</v>
      </c>
      <c r="I101" s="5" t="s">
        <v>21</v>
      </c>
      <c r="J101" s="1" t="s">
        <v>512</v>
      </c>
      <c r="K101" s="1" t="s">
        <v>513</v>
      </c>
      <c r="L101" s="1" t="s">
        <v>514</v>
      </c>
      <c r="M101" s="4" t="str">
        <f t="shared" si="0"/>
        <v>Outstanding</v>
      </c>
      <c r="N101" s="13" t="s">
        <v>21</v>
      </c>
    </row>
    <row r="102" spans="1:14" ht="60" customHeight="1" x14ac:dyDescent="0.35">
      <c r="A102" s="11" t="s">
        <v>515</v>
      </c>
      <c r="B102" s="1" t="s">
        <v>516</v>
      </c>
      <c r="C102" s="2" t="s">
        <v>27</v>
      </c>
      <c r="D102" s="3" t="s">
        <v>379</v>
      </c>
      <c r="E102" s="4" t="s">
        <v>18</v>
      </c>
      <c r="F102" s="4" t="s">
        <v>19</v>
      </c>
      <c r="G102" s="4" t="s">
        <v>20</v>
      </c>
      <c r="H102" s="4" t="s">
        <v>21</v>
      </c>
      <c r="I102" s="5" t="s">
        <v>21</v>
      </c>
      <c r="J102" s="1" t="s">
        <v>517</v>
      </c>
      <c r="K102" s="1" t="s">
        <v>518</v>
      </c>
      <c r="L102" s="1" t="s">
        <v>519</v>
      </c>
      <c r="M102" s="4" t="str">
        <f t="shared" si="0"/>
        <v>Outstanding</v>
      </c>
      <c r="N102" s="13" t="s">
        <v>21</v>
      </c>
    </row>
    <row r="103" spans="1:14" ht="60" customHeight="1" x14ac:dyDescent="0.35">
      <c r="A103" s="11" t="s">
        <v>520</v>
      </c>
      <c r="B103" s="1" t="s">
        <v>521</v>
      </c>
      <c r="C103" s="2" t="s">
        <v>16</v>
      </c>
      <c r="D103" s="3" t="s">
        <v>379</v>
      </c>
      <c r="E103" s="4" t="s">
        <v>18</v>
      </c>
      <c r="F103" s="4" t="s">
        <v>19</v>
      </c>
      <c r="G103" s="4" t="s">
        <v>20</v>
      </c>
      <c r="H103" s="4" t="s">
        <v>21</v>
      </c>
      <c r="I103" s="5" t="s">
        <v>21</v>
      </c>
      <c r="J103" s="1" t="s">
        <v>522</v>
      </c>
      <c r="K103" s="1" t="s">
        <v>523</v>
      </c>
      <c r="L103" s="1" t="s">
        <v>524</v>
      </c>
      <c r="M103" s="4" t="str">
        <f t="shared" si="0"/>
        <v>Outstanding</v>
      </c>
      <c r="N103" s="13" t="s">
        <v>21</v>
      </c>
    </row>
    <row r="104" spans="1:14" ht="60" customHeight="1" x14ac:dyDescent="0.35">
      <c r="A104" s="11" t="s">
        <v>525</v>
      </c>
      <c r="B104" s="1" t="s">
        <v>526</v>
      </c>
      <c r="C104" s="2" t="s">
        <v>16</v>
      </c>
      <c r="D104" s="3" t="s">
        <v>379</v>
      </c>
      <c r="E104" s="4" t="s">
        <v>18</v>
      </c>
      <c r="F104" s="4" t="s">
        <v>19</v>
      </c>
      <c r="G104" s="4" t="s">
        <v>20</v>
      </c>
      <c r="H104" s="4" t="s">
        <v>21</v>
      </c>
      <c r="I104" s="5" t="s">
        <v>21</v>
      </c>
      <c r="J104" s="1" t="s">
        <v>527</v>
      </c>
      <c r="K104" s="1" t="s">
        <v>528</v>
      </c>
      <c r="L104" s="1" t="s">
        <v>529</v>
      </c>
      <c r="M104" s="4" t="str">
        <f t="shared" si="0"/>
        <v>Outstanding</v>
      </c>
      <c r="N104" s="13" t="s">
        <v>21</v>
      </c>
    </row>
    <row r="105" spans="1:14" ht="60" customHeight="1" x14ac:dyDescent="0.35">
      <c r="A105" s="11" t="s">
        <v>530</v>
      </c>
      <c r="B105" s="1" t="s">
        <v>531</v>
      </c>
      <c r="C105" s="2" t="s">
        <v>16</v>
      </c>
      <c r="D105" s="3" t="s">
        <v>379</v>
      </c>
      <c r="E105" s="4" t="s">
        <v>18</v>
      </c>
      <c r="F105" s="4" t="s">
        <v>19</v>
      </c>
      <c r="G105" s="4" t="s">
        <v>20</v>
      </c>
      <c r="H105" s="4" t="s">
        <v>21</v>
      </c>
      <c r="I105" s="5" t="s">
        <v>21</v>
      </c>
      <c r="J105" s="1" t="s">
        <v>532</v>
      </c>
      <c r="K105" s="1" t="s">
        <v>533</v>
      </c>
      <c r="L105" s="1" t="s">
        <v>534</v>
      </c>
      <c r="M105" s="4" t="str">
        <f t="shared" si="0"/>
        <v>Outstanding</v>
      </c>
      <c r="N105" s="13" t="s">
        <v>21</v>
      </c>
    </row>
    <row r="106" spans="1:14" ht="60" customHeight="1" x14ac:dyDescent="0.35">
      <c r="A106" s="11" t="s">
        <v>535</v>
      </c>
      <c r="B106" s="1" t="s">
        <v>536</v>
      </c>
      <c r="C106" s="2" t="s">
        <v>16</v>
      </c>
      <c r="D106" s="3" t="s">
        <v>379</v>
      </c>
      <c r="E106" s="4" t="s">
        <v>18</v>
      </c>
      <c r="F106" s="4" t="s">
        <v>19</v>
      </c>
      <c r="G106" s="4" t="s">
        <v>20</v>
      </c>
      <c r="H106" s="4" t="s">
        <v>21</v>
      </c>
      <c r="I106" s="5" t="s">
        <v>21</v>
      </c>
      <c r="J106" s="1" t="s">
        <v>537</v>
      </c>
      <c r="K106" s="1" t="s">
        <v>538</v>
      </c>
      <c r="L106" s="1" t="s">
        <v>539</v>
      </c>
      <c r="M106" s="4" t="str">
        <f t="shared" si="0"/>
        <v>Outstanding</v>
      </c>
      <c r="N106" s="13" t="s">
        <v>21</v>
      </c>
    </row>
    <row r="107" spans="1:14" ht="60" customHeight="1" x14ac:dyDescent="0.35">
      <c r="A107" s="11" t="s">
        <v>540</v>
      </c>
      <c r="B107" s="1" t="s">
        <v>541</v>
      </c>
      <c r="C107" s="2" t="s">
        <v>27</v>
      </c>
      <c r="D107" s="3" t="s">
        <v>379</v>
      </c>
      <c r="E107" s="4" t="s">
        <v>18</v>
      </c>
      <c r="F107" s="4" t="s">
        <v>19</v>
      </c>
      <c r="G107" s="4" t="s">
        <v>20</v>
      </c>
      <c r="H107" s="4" t="s">
        <v>21</v>
      </c>
      <c r="I107" s="5" t="s">
        <v>21</v>
      </c>
      <c r="J107" s="1" t="s">
        <v>542</v>
      </c>
      <c r="K107" s="1" t="s">
        <v>167</v>
      </c>
      <c r="L107" s="1" t="s">
        <v>543</v>
      </c>
      <c r="M107" s="4" t="str">
        <f t="shared" si="0"/>
        <v>Outstanding</v>
      </c>
      <c r="N107" s="13" t="s">
        <v>21</v>
      </c>
    </row>
    <row r="108" spans="1:14" ht="60" customHeight="1" x14ac:dyDescent="0.35">
      <c r="A108" s="11" t="s">
        <v>544</v>
      </c>
      <c r="B108" s="1" t="s">
        <v>545</v>
      </c>
      <c r="C108" s="2" t="s">
        <v>16</v>
      </c>
      <c r="D108" s="3" t="s">
        <v>379</v>
      </c>
      <c r="E108" s="4" t="s">
        <v>18</v>
      </c>
      <c r="F108" s="4" t="s">
        <v>19</v>
      </c>
      <c r="G108" s="4" t="s">
        <v>20</v>
      </c>
      <c r="H108" s="4" t="s">
        <v>21</v>
      </c>
      <c r="I108" s="5" t="s">
        <v>21</v>
      </c>
      <c r="J108" s="1" t="s">
        <v>546</v>
      </c>
      <c r="K108" s="1" t="s">
        <v>547</v>
      </c>
      <c r="L108" s="1" t="s">
        <v>548</v>
      </c>
      <c r="M108" s="4" t="str">
        <f t="shared" si="0"/>
        <v>Outstanding</v>
      </c>
      <c r="N108" s="13" t="s">
        <v>21</v>
      </c>
    </row>
    <row r="109" spans="1:14" ht="60" customHeight="1" x14ac:dyDescent="0.35">
      <c r="A109" s="11" t="s">
        <v>549</v>
      </c>
      <c r="B109" s="1" t="s">
        <v>550</v>
      </c>
      <c r="C109" s="2" t="s">
        <v>16</v>
      </c>
      <c r="D109" s="3" t="s">
        <v>379</v>
      </c>
      <c r="E109" s="4" t="s">
        <v>18</v>
      </c>
      <c r="F109" s="4" t="s">
        <v>19</v>
      </c>
      <c r="G109" s="4" t="s">
        <v>20</v>
      </c>
      <c r="H109" s="4" t="s">
        <v>21</v>
      </c>
      <c r="I109" s="5" t="s">
        <v>21</v>
      </c>
      <c r="J109" s="1" t="s">
        <v>551</v>
      </c>
      <c r="K109" s="1" t="s">
        <v>172</v>
      </c>
      <c r="L109" s="1" t="s">
        <v>552</v>
      </c>
      <c r="M109" s="4" t="str">
        <f t="shared" si="0"/>
        <v>Outstanding</v>
      </c>
      <c r="N109" s="13" t="s">
        <v>21</v>
      </c>
    </row>
    <row r="110" spans="1:14" ht="60" customHeight="1" x14ac:dyDescent="0.35">
      <c r="A110" s="11" t="s">
        <v>553</v>
      </c>
      <c r="B110" s="1" t="s">
        <v>554</v>
      </c>
      <c r="C110" s="2" t="s">
        <v>16</v>
      </c>
      <c r="D110" s="3" t="s">
        <v>379</v>
      </c>
      <c r="E110" s="4" t="s">
        <v>18</v>
      </c>
      <c r="F110" s="4" t="s">
        <v>19</v>
      </c>
      <c r="G110" s="4" t="s">
        <v>20</v>
      </c>
      <c r="H110" s="4" t="s">
        <v>21</v>
      </c>
      <c r="I110" s="5" t="s">
        <v>21</v>
      </c>
      <c r="J110" s="1" t="s">
        <v>555</v>
      </c>
      <c r="K110" s="1" t="s">
        <v>172</v>
      </c>
      <c r="L110" s="1" t="s">
        <v>556</v>
      </c>
      <c r="M110" s="4" t="str">
        <f t="shared" si="0"/>
        <v>Outstanding</v>
      </c>
      <c r="N110" s="13" t="s">
        <v>21</v>
      </c>
    </row>
    <row r="111" spans="1:14" ht="60" customHeight="1" x14ac:dyDescent="0.35">
      <c r="A111" s="11" t="s">
        <v>557</v>
      </c>
      <c r="B111" s="1" t="s">
        <v>558</v>
      </c>
      <c r="C111" s="2" t="s">
        <v>16</v>
      </c>
      <c r="D111" s="3" t="s">
        <v>379</v>
      </c>
      <c r="E111" s="4" t="s">
        <v>18</v>
      </c>
      <c r="F111" s="4" t="s">
        <v>19</v>
      </c>
      <c r="G111" s="4" t="s">
        <v>20</v>
      </c>
      <c r="H111" s="4" t="s">
        <v>21</v>
      </c>
      <c r="I111" s="5" t="s">
        <v>21</v>
      </c>
      <c r="J111" s="1" t="s">
        <v>559</v>
      </c>
      <c r="K111" s="1" t="s">
        <v>172</v>
      </c>
      <c r="L111" s="1" t="s">
        <v>560</v>
      </c>
      <c r="M111" s="4" t="str">
        <f t="shared" si="0"/>
        <v>Outstanding</v>
      </c>
      <c r="N111" s="13" t="s">
        <v>21</v>
      </c>
    </row>
    <row r="112" spans="1:14" ht="60" customHeight="1" x14ac:dyDescent="0.35">
      <c r="A112" s="11" t="s">
        <v>561</v>
      </c>
      <c r="B112" s="1" t="s">
        <v>562</v>
      </c>
      <c r="C112" s="2" t="s">
        <v>16</v>
      </c>
      <c r="D112" s="3" t="s">
        <v>379</v>
      </c>
      <c r="E112" s="4" t="s">
        <v>18</v>
      </c>
      <c r="F112" s="4" t="s">
        <v>19</v>
      </c>
      <c r="G112" s="4" t="s">
        <v>20</v>
      </c>
      <c r="H112" s="4" t="s">
        <v>21</v>
      </c>
      <c r="I112" s="5" t="s">
        <v>21</v>
      </c>
      <c r="J112" s="1" t="s">
        <v>563</v>
      </c>
      <c r="K112" s="1" t="s">
        <v>172</v>
      </c>
      <c r="L112" s="1" t="s">
        <v>564</v>
      </c>
      <c r="M112" s="4" t="str">
        <f t="shared" si="0"/>
        <v>Outstanding</v>
      </c>
      <c r="N112" s="13" t="s">
        <v>21</v>
      </c>
    </row>
    <row r="113" spans="1:14" ht="60" customHeight="1" x14ac:dyDescent="0.35">
      <c r="A113" s="11" t="s">
        <v>565</v>
      </c>
      <c r="B113" s="1" t="s">
        <v>566</v>
      </c>
      <c r="C113" s="2" t="s">
        <v>16</v>
      </c>
      <c r="D113" s="3" t="s">
        <v>379</v>
      </c>
      <c r="E113" s="4" t="s">
        <v>18</v>
      </c>
      <c r="F113" s="4" t="s">
        <v>19</v>
      </c>
      <c r="G113" s="4" t="s">
        <v>20</v>
      </c>
      <c r="H113" s="4" t="s">
        <v>21</v>
      </c>
      <c r="I113" s="5" t="s">
        <v>21</v>
      </c>
      <c r="J113" s="1" t="s">
        <v>567</v>
      </c>
      <c r="K113" s="1" t="s">
        <v>44</v>
      </c>
      <c r="L113" s="1" t="s">
        <v>568</v>
      </c>
      <c r="M113" s="4" t="str">
        <f t="shared" si="0"/>
        <v>Outstanding</v>
      </c>
      <c r="N113" s="13" t="s">
        <v>21</v>
      </c>
    </row>
    <row r="114" spans="1:14" ht="60" customHeight="1" x14ac:dyDescent="0.35">
      <c r="A114" s="11" t="s">
        <v>569</v>
      </c>
      <c r="B114" s="1" t="s">
        <v>570</v>
      </c>
      <c r="C114" s="2" t="s">
        <v>16</v>
      </c>
      <c r="D114" s="3" t="s">
        <v>379</v>
      </c>
      <c r="E114" s="4" t="s">
        <v>18</v>
      </c>
      <c r="F114" s="4" t="s">
        <v>19</v>
      </c>
      <c r="G114" s="4" t="s">
        <v>20</v>
      </c>
      <c r="H114" s="4" t="s">
        <v>21</v>
      </c>
      <c r="I114" s="5" t="s">
        <v>21</v>
      </c>
      <c r="J114" s="1" t="s">
        <v>571</v>
      </c>
      <c r="K114" s="1" t="s">
        <v>44</v>
      </c>
      <c r="L114" s="1" t="s">
        <v>572</v>
      </c>
      <c r="M114" s="4" t="str">
        <f t="shared" si="0"/>
        <v>Outstanding</v>
      </c>
      <c r="N114" s="13" t="s">
        <v>21</v>
      </c>
    </row>
    <row r="115" spans="1:14" ht="60" customHeight="1" x14ac:dyDescent="0.35">
      <c r="A115" s="11" t="s">
        <v>573</v>
      </c>
      <c r="B115" s="1" t="s">
        <v>574</v>
      </c>
      <c r="C115" s="2" t="s">
        <v>16</v>
      </c>
      <c r="D115" s="3" t="s">
        <v>379</v>
      </c>
      <c r="E115" s="4" t="s">
        <v>18</v>
      </c>
      <c r="F115" s="4" t="s">
        <v>19</v>
      </c>
      <c r="G115" s="4" t="s">
        <v>20</v>
      </c>
      <c r="H115" s="4" t="s">
        <v>21</v>
      </c>
      <c r="I115" s="5" t="s">
        <v>21</v>
      </c>
      <c r="J115" s="1" t="s">
        <v>575</v>
      </c>
      <c r="K115" s="1" t="s">
        <v>44</v>
      </c>
      <c r="L115" s="1" t="s">
        <v>576</v>
      </c>
      <c r="M115" s="4" t="str">
        <f t="shared" si="0"/>
        <v>Outstanding</v>
      </c>
      <c r="N115" s="13" t="s">
        <v>21</v>
      </c>
    </row>
    <row r="116" spans="1:14" ht="60" customHeight="1" x14ac:dyDescent="0.35">
      <c r="A116" s="11" t="s">
        <v>577</v>
      </c>
      <c r="B116" s="1" t="s">
        <v>578</v>
      </c>
      <c r="C116" s="2" t="s">
        <v>16</v>
      </c>
      <c r="D116" s="3" t="s">
        <v>379</v>
      </c>
      <c r="E116" s="4" t="s">
        <v>18</v>
      </c>
      <c r="F116" s="4" t="s">
        <v>19</v>
      </c>
      <c r="G116" s="4" t="s">
        <v>20</v>
      </c>
      <c r="H116" s="4" t="s">
        <v>21</v>
      </c>
      <c r="I116" s="5" t="s">
        <v>21</v>
      </c>
      <c r="J116" s="1" t="s">
        <v>579</v>
      </c>
      <c r="K116" s="1" t="s">
        <v>580</v>
      </c>
      <c r="L116" s="1" t="s">
        <v>581</v>
      </c>
      <c r="M116" s="4" t="str">
        <f t="shared" si="0"/>
        <v>Outstanding</v>
      </c>
      <c r="N116" s="13" t="s">
        <v>21</v>
      </c>
    </row>
    <row r="117" spans="1:14" ht="60" customHeight="1" x14ac:dyDescent="0.35">
      <c r="A117" s="11" t="s">
        <v>582</v>
      </c>
      <c r="B117" s="1" t="s">
        <v>583</v>
      </c>
      <c r="C117" s="2" t="s">
        <v>16</v>
      </c>
      <c r="D117" s="3" t="s">
        <v>379</v>
      </c>
      <c r="E117" s="4" t="s">
        <v>18</v>
      </c>
      <c r="F117" s="4" t="s">
        <v>19</v>
      </c>
      <c r="G117" s="4" t="s">
        <v>20</v>
      </c>
      <c r="H117" s="4" t="s">
        <v>21</v>
      </c>
      <c r="I117" s="5" t="s">
        <v>21</v>
      </c>
      <c r="J117" s="1" t="s">
        <v>584</v>
      </c>
      <c r="K117" s="1" t="s">
        <v>580</v>
      </c>
      <c r="L117" s="1" t="s">
        <v>585</v>
      </c>
      <c r="M117" s="4" t="str">
        <f t="shared" si="0"/>
        <v>Outstanding</v>
      </c>
      <c r="N117" s="13" t="s">
        <v>21</v>
      </c>
    </row>
    <row r="118" spans="1:14" ht="60" customHeight="1" x14ac:dyDescent="0.35">
      <c r="A118" s="11" t="s">
        <v>586</v>
      </c>
      <c r="B118" s="1" t="s">
        <v>587</v>
      </c>
      <c r="C118" s="2" t="s">
        <v>16</v>
      </c>
      <c r="D118" s="3" t="s">
        <v>379</v>
      </c>
      <c r="E118" s="4" t="s">
        <v>18</v>
      </c>
      <c r="F118" s="4" t="s">
        <v>19</v>
      </c>
      <c r="G118" s="4" t="s">
        <v>20</v>
      </c>
      <c r="H118" s="4" t="s">
        <v>21</v>
      </c>
      <c r="I118" s="5" t="s">
        <v>21</v>
      </c>
      <c r="J118" s="1" t="s">
        <v>588</v>
      </c>
      <c r="K118" s="1" t="s">
        <v>580</v>
      </c>
      <c r="L118" s="1" t="s">
        <v>589</v>
      </c>
      <c r="M118" s="4" t="str">
        <f t="shared" si="0"/>
        <v>Outstanding</v>
      </c>
      <c r="N118" s="13" t="s">
        <v>21</v>
      </c>
    </row>
    <row r="119" spans="1:14" ht="60" customHeight="1" x14ac:dyDescent="0.35">
      <c r="A119" s="11" t="s">
        <v>590</v>
      </c>
      <c r="B119" s="1" t="s">
        <v>399</v>
      </c>
      <c r="C119" s="2" t="s">
        <v>16</v>
      </c>
      <c r="D119" s="3" t="s">
        <v>379</v>
      </c>
      <c r="E119" s="4" t="s">
        <v>18</v>
      </c>
      <c r="F119" s="4" t="s">
        <v>19</v>
      </c>
      <c r="G119" s="4" t="s">
        <v>20</v>
      </c>
      <c r="H119" s="4" t="s">
        <v>21</v>
      </c>
      <c r="I119" s="5" t="s">
        <v>21</v>
      </c>
      <c r="J119" s="1" t="s">
        <v>591</v>
      </c>
      <c r="K119" s="1" t="s">
        <v>401</v>
      </c>
      <c r="L119" s="1" t="s">
        <v>592</v>
      </c>
      <c r="M119" s="4" t="str">
        <f t="shared" si="0"/>
        <v>Outstanding</v>
      </c>
      <c r="N119" s="13" t="s">
        <v>21</v>
      </c>
    </row>
    <row r="120" spans="1:14" ht="60" customHeight="1" x14ac:dyDescent="0.35">
      <c r="A120" s="11" t="s">
        <v>593</v>
      </c>
      <c r="B120" s="1" t="s">
        <v>594</v>
      </c>
      <c r="C120" s="2" t="s">
        <v>16</v>
      </c>
      <c r="D120" s="3" t="s">
        <v>379</v>
      </c>
      <c r="E120" s="4" t="s">
        <v>18</v>
      </c>
      <c r="F120" s="4" t="s">
        <v>19</v>
      </c>
      <c r="G120" s="4" t="s">
        <v>20</v>
      </c>
      <c r="H120" s="4" t="s">
        <v>21</v>
      </c>
      <c r="I120" s="5" t="s">
        <v>21</v>
      </c>
      <c r="J120" s="1" t="s">
        <v>595</v>
      </c>
      <c r="K120" s="1" t="s">
        <v>596</v>
      </c>
      <c r="L120" s="1" t="s">
        <v>597</v>
      </c>
      <c r="M120" s="4" t="str">
        <f t="shared" si="0"/>
        <v>Outstanding</v>
      </c>
      <c r="N120" s="13" t="s">
        <v>21</v>
      </c>
    </row>
    <row r="121" spans="1:14" ht="60" customHeight="1" x14ac:dyDescent="0.35">
      <c r="A121" s="11" t="s">
        <v>598</v>
      </c>
      <c r="B121" s="1" t="s">
        <v>599</v>
      </c>
      <c r="C121" s="2" t="s">
        <v>16</v>
      </c>
      <c r="D121" s="3" t="s">
        <v>379</v>
      </c>
      <c r="E121" s="4" t="s">
        <v>18</v>
      </c>
      <c r="F121" s="4" t="s">
        <v>19</v>
      </c>
      <c r="G121" s="4" t="s">
        <v>20</v>
      </c>
      <c r="H121" s="4" t="s">
        <v>21</v>
      </c>
      <c r="I121" s="5" t="s">
        <v>21</v>
      </c>
      <c r="J121" s="1" t="s">
        <v>600</v>
      </c>
      <c r="K121" s="1" t="s">
        <v>601</v>
      </c>
      <c r="L121" s="1" t="s">
        <v>602</v>
      </c>
      <c r="M121" s="4" t="str">
        <f t="shared" si="0"/>
        <v>Outstanding</v>
      </c>
      <c r="N121" s="13" t="s">
        <v>21</v>
      </c>
    </row>
    <row r="122" spans="1:14" ht="60" customHeight="1" x14ac:dyDescent="0.35">
      <c r="A122" s="11" t="s">
        <v>603</v>
      </c>
      <c r="B122" s="1" t="s">
        <v>604</v>
      </c>
      <c r="C122" s="2" t="s">
        <v>16</v>
      </c>
      <c r="D122" s="3" t="s">
        <v>379</v>
      </c>
      <c r="E122" s="4" t="s">
        <v>18</v>
      </c>
      <c r="F122" s="4" t="s">
        <v>19</v>
      </c>
      <c r="G122" s="4" t="s">
        <v>20</v>
      </c>
      <c r="H122" s="4" t="s">
        <v>21</v>
      </c>
      <c r="I122" s="5" t="s">
        <v>21</v>
      </c>
      <c r="J122" s="1" t="s">
        <v>605</v>
      </c>
      <c r="K122" s="1" t="s">
        <v>606</v>
      </c>
      <c r="L122" s="1" t="s">
        <v>607</v>
      </c>
      <c r="M122" s="4" t="str">
        <f t="shared" si="0"/>
        <v>Outstanding</v>
      </c>
      <c r="N122" s="13" t="s">
        <v>21</v>
      </c>
    </row>
    <row r="123" spans="1:14" ht="60" customHeight="1" x14ac:dyDescent="0.35">
      <c r="A123" s="11" t="s">
        <v>608</v>
      </c>
      <c r="B123" s="1" t="s">
        <v>609</v>
      </c>
      <c r="C123" s="2" t="s">
        <v>16</v>
      </c>
      <c r="D123" s="3" t="s">
        <v>379</v>
      </c>
      <c r="E123" s="4" t="s">
        <v>18</v>
      </c>
      <c r="F123" s="4" t="s">
        <v>19</v>
      </c>
      <c r="G123" s="4" t="s">
        <v>20</v>
      </c>
      <c r="H123" s="4" t="s">
        <v>21</v>
      </c>
      <c r="I123" s="5" t="s">
        <v>21</v>
      </c>
      <c r="J123" s="1" t="s">
        <v>610</v>
      </c>
      <c r="K123" s="1" t="s">
        <v>611</v>
      </c>
      <c r="L123" s="1" t="s">
        <v>612</v>
      </c>
      <c r="M123" s="4" t="str">
        <f t="shared" si="0"/>
        <v>Outstanding</v>
      </c>
      <c r="N123" s="13" t="s">
        <v>21</v>
      </c>
    </row>
    <row r="124" spans="1:14" ht="60" customHeight="1" x14ac:dyDescent="0.35">
      <c r="A124" s="11" t="s">
        <v>613</v>
      </c>
      <c r="B124" s="1" t="s">
        <v>399</v>
      </c>
      <c r="C124" s="2" t="s">
        <v>16</v>
      </c>
      <c r="D124" s="3" t="s">
        <v>379</v>
      </c>
      <c r="E124" s="4" t="s">
        <v>18</v>
      </c>
      <c r="F124" s="4" t="s">
        <v>19</v>
      </c>
      <c r="G124" s="4" t="s">
        <v>20</v>
      </c>
      <c r="H124" s="4" t="s">
        <v>21</v>
      </c>
      <c r="I124" s="5" t="s">
        <v>21</v>
      </c>
      <c r="J124" s="1" t="s">
        <v>400</v>
      </c>
      <c r="K124" s="1" t="s">
        <v>401</v>
      </c>
      <c r="L124" s="1" t="s">
        <v>592</v>
      </c>
      <c r="M124" s="4" t="str">
        <f t="shared" si="0"/>
        <v>Outstanding</v>
      </c>
      <c r="N124" s="13" t="s">
        <v>21</v>
      </c>
    </row>
    <row r="125" spans="1:14" ht="60" customHeight="1" x14ac:dyDescent="0.35">
      <c r="A125" s="11" t="s">
        <v>614</v>
      </c>
      <c r="B125" s="1" t="s">
        <v>615</v>
      </c>
      <c r="C125" s="2" t="s">
        <v>16</v>
      </c>
      <c r="D125" s="3" t="s">
        <v>379</v>
      </c>
      <c r="E125" s="4" t="s">
        <v>18</v>
      </c>
      <c r="F125" s="4" t="s">
        <v>19</v>
      </c>
      <c r="G125" s="4" t="s">
        <v>20</v>
      </c>
      <c r="H125" s="4" t="s">
        <v>21</v>
      </c>
      <c r="I125" s="5" t="s">
        <v>21</v>
      </c>
      <c r="J125" s="1" t="s">
        <v>616</v>
      </c>
      <c r="K125" s="1" t="s">
        <v>617</v>
      </c>
      <c r="L125" s="1" t="s">
        <v>618</v>
      </c>
      <c r="M125" s="4" t="str">
        <f t="shared" si="0"/>
        <v>Outstanding</v>
      </c>
      <c r="N125" s="13" t="s">
        <v>21</v>
      </c>
    </row>
    <row r="126" spans="1:14" ht="60" customHeight="1" x14ac:dyDescent="0.35">
      <c r="A126" s="11" t="s">
        <v>619</v>
      </c>
      <c r="B126" s="1" t="s">
        <v>620</v>
      </c>
      <c r="C126" s="2" t="s">
        <v>16</v>
      </c>
      <c r="D126" s="3" t="s">
        <v>379</v>
      </c>
      <c r="E126" s="4" t="s">
        <v>18</v>
      </c>
      <c r="F126" s="4" t="s">
        <v>19</v>
      </c>
      <c r="G126" s="4" t="s">
        <v>20</v>
      </c>
      <c r="H126" s="4" t="s">
        <v>21</v>
      </c>
      <c r="I126" s="5" t="s">
        <v>21</v>
      </c>
      <c r="J126" s="1" t="s">
        <v>621</v>
      </c>
      <c r="K126" s="1" t="s">
        <v>622</v>
      </c>
      <c r="L126" s="1" t="s">
        <v>623</v>
      </c>
      <c r="M126" s="4" t="str">
        <f t="shared" si="0"/>
        <v>Outstanding</v>
      </c>
      <c r="N126" s="13" t="s">
        <v>21</v>
      </c>
    </row>
    <row r="127" spans="1:14" ht="60" customHeight="1" x14ac:dyDescent="0.35">
      <c r="A127" s="11" t="s">
        <v>624</v>
      </c>
      <c r="B127" s="1" t="s">
        <v>625</v>
      </c>
      <c r="C127" s="2" t="s">
        <v>16</v>
      </c>
      <c r="D127" s="3" t="s">
        <v>379</v>
      </c>
      <c r="E127" s="4" t="s">
        <v>18</v>
      </c>
      <c r="F127" s="4" t="s">
        <v>19</v>
      </c>
      <c r="G127" s="4" t="s">
        <v>20</v>
      </c>
      <c r="H127" s="4" t="s">
        <v>21</v>
      </c>
      <c r="I127" s="5" t="s">
        <v>21</v>
      </c>
      <c r="J127" s="1" t="s">
        <v>626</v>
      </c>
      <c r="K127" s="1" t="s">
        <v>627</v>
      </c>
      <c r="L127" s="1" t="s">
        <v>628</v>
      </c>
      <c r="M127" s="4" t="str">
        <f t="shared" si="0"/>
        <v>Outstanding</v>
      </c>
      <c r="N127" s="13" t="s">
        <v>21</v>
      </c>
    </row>
    <row r="128" spans="1:14" ht="60" customHeight="1" x14ac:dyDescent="0.35">
      <c r="A128" s="11" t="s">
        <v>629</v>
      </c>
      <c r="B128" s="1" t="s">
        <v>630</v>
      </c>
      <c r="C128" s="2" t="s">
        <v>16</v>
      </c>
      <c r="D128" s="3" t="s">
        <v>379</v>
      </c>
      <c r="E128" s="4" t="s">
        <v>18</v>
      </c>
      <c r="F128" s="4" t="s">
        <v>19</v>
      </c>
      <c r="G128" s="4" t="s">
        <v>20</v>
      </c>
      <c r="H128" s="4" t="s">
        <v>21</v>
      </c>
      <c r="I128" s="5" t="s">
        <v>21</v>
      </c>
      <c r="J128" s="1" t="s">
        <v>631</v>
      </c>
      <c r="K128" s="1" t="s">
        <v>632</v>
      </c>
      <c r="L128" s="1" t="s">
        <v>633</v>
      </c>
      <c r="M128" s="4" t="str">
        <f t="shared" si="0"/>
        <v>Outstanding</v>
      </c>
      <c r="N128" s="13" t="s">
        <v>21</v>
      </c>
    </row>
    <row r="129" spans="1:14" ht="60" customHeight="1" x14ac:dyDescent="0.35">
      <c r="A129" s="11" t="s">
        <v>634</v>
      </c>
      <c r="B129" s="1" t="s">
        <v>635</v>
      </c>
      <c r="C129" s="2" t="s">
        <v>27</v>
      </c>
      <c r="D129" s="3" t="s">
        <v>379</v>
      </c>
      <c r="E129" s="4" t="s">
        <v>18</v>
      </c>
      <c r="F129" s="4" t="s">
        <v>19</v>
      </c>
      <c r="G129" s="4" t="s">
        <v>20</v>
      </c>
      <c r="H129" s="4" t="s">
        <v>21</v>
      </c>
      <c r="I129" s="5" t="s">
        <v>21</v>
      </c>
      <c r="J129" s="1" t="s">
        <v>636</v>
      </c>
      <c r="K129" s="1" t="s">
        <v>637</v>
      </c>
      <c r="L129" s="1" t="s">
        <v>638</v>
      </c>
      <c r="M129" s="4" t="str">
        <f t="shared" si="0"/>
        <v>Outstanding</v>
      </c>
      <c r="N129" s="13" t="s">
        <v>21</v>
      </c>
    </row>
    <row r="130" spans="1:14" ht="60" customHeight="1" x14ac:dyDescent="0.35">
      <c r="A130" s="11" t="s">
        <v>639</v>
      </c>
      <c r="B130" s="1" t="s">
        <v>640</v>
      </c>
      <c r="C130" s="2" t="s">
        <v>27</v>
      </c>
      <c r="D130" s="3" t="s">
        <v>379</v>
      </c>
      <c r="E130" s="4" t="s">
        <v>18</v>
      </c>
      <c r="F130" s="4" t="s">
        <v>19</v>
      </c>
      <c r="G130" s="4" t="s">
        <v>20</v>
      </c>
      <c r="H130" s="4" t="s">
        <v>21</v>
      </c>
      <c r="I130" s="5" t="s">
        <v>21</v>
      </c>
      <c r="J130" s="1" t="s">
        <v>641</v>
      </c>
      <c r="K130" s="1" t="s">
        <v>642</v>
      </c>
      <c r="L130" s="1" t="s">
        <v>643</v>
      </c>
      <c r="M130" s="4" t="str">
        <f t="shared" si="0"/>
        <v>Outstanding</v>
      </c>
      <c r="N130" s="13" t="s">
        <v>21</v>
      </c>
    </row>
    <row r="131" spans="1:14" ht="60" customHeight="1" x14ac:dyDescent="0.35">
      <c r="A131" s="11" t="s">
        <v>644</v>
      </c>
      <c r="B131" s="1" t="s">
        <v>645</v>
      </c>
      <c r="C131" s="2" t="s">
        <v>16</v>
      </c>
      <c r="D131" s="3" t="s">
        <v>379</v>
      </c>
      <c r="E131" s="4" t="s">
        <v>18</v>
      </c>
      <c r="F131" s="4" t="s">
        <v>19</v>
      </c>
      <c r="G131" s="4" t="s">
        <v>20</v>
      </c>
      <c r="H131" s="4" t="s">
        <v>21</v>
      </c>
      <c r="I131" s="5" t="s">
        <v>21</v>
      </c>
      <c r="J131" s="1" t="s">
        <v>646</v>
      </c>
      <c r="K131" s="1" t="s">
        <v>647</v>
      </c>
      <c r="L131" s="1" t="s">
        <v>648</v>
      </c>
      <c r="M131" s="4" t="str">
        <f t="shared" si="0"/>
        <v>Outstanding</v>
      </c>
      <c r="N131" s="13" t="s">
        <v>21</v>
      </c>
    </row>
    <row r="132" spans="1:14" ht="60" customHeight="1" x14ac:dyDescent="0.35">
      <c r="A132" s="11" t="s">
        <v>649</v>
      </c>
      <c r="B132" s="1" t="s">
        <v>650</v>
      </c>
      <c r="C132" s="2" t="s">
        <v>16</v>
      </c>
      <c r="D132" s="3" t="s">
        <v>379</v>
      </c>
      <c r="E132" s="4" t="s">
        <v>18</v>
      </c>
      <c r="F132" s="4" t="s">
        <v>19</v>
      </c>
      <c r="G132" s="4" t="s">
        <v>20</v>
      </c>
      <c r="H132" s="4" t="s">
        <v>21</v>
      </c>
      <c r="I132" s="5" t="s">
        <v>21</v>
      </c>
      <c r="J132" s="1" t="s">
        <v>651</v>
      </c>
      <c r="K132" s="1" t="s">
        <v>652</v>
      </c>
      <c r="L132" s="1" t="s">
        <v>653</v>
      </c>
      <c r="M132" s="4" t="str">
        <f t="shared" si="0"/>
        <v>Outstanding</v>
      </c>
      <c r="N132" s="13" t="s">
        <v>21</v>
      </c>
    </row>
    <row r="133" spans="1:14" ht="60" customHeight="1" x14ac:dyDescent="0.35">
      <c r="A133" s="11" t="s">
        <v>654</v>
      </c>
      <c r="B133" s="1" t="s">
        <v>655</v>
      </c>
      <c r="C133" s="2" t="s">
        <v>27</v>
      </c>
      <c r="D133" s="3" t="s">
        <v>379</v>
      </c>
      <c r="E133" s="4" t="s">
        <v>18</v>
      </c>
      <c r="F133" s="4" t="s">
        <v>19</v>
      </c>
      <c r="G133" s="4" t="s">
        <v>20</v>
      </c>
      <c r="H133" s="4" t="s">
        <v>21</v>
      </c>
      <c r="I133" s="5" t="s">
        <v>21</v>
      </c>
      <c r="J133" s="1" t="s">
        <v>656</v>
      </c>
      <c r="K133" s="1" t="s">
        <v>657</v>
      </c>
      <c r="L133" s="1" t="s">
        <v>658</v>
      </c>
      <c r="M133" s="4" t="str">
        <f t="shared" si="0"/>
        <v>Outstanding</v>
      </c>
      <c r="N133" s="13" t="s">
        <v>21</v>
      </c>
    </row>
    <row r="134" spans="1:14" ht="60" customHeight="1" x14ac:dyDescent="0.35">
      <c r="A134" s="11" t="s">
        <v>659</v>
      </c>
      <c r="B134" s="1" t="s">
        <v>660</v>
      </c>
      <c r="C134" s="2" t="s">
        <v>27</v>
      </c>
      <c r="D134" s="3" t="s">
        <v>379</v>
      </c>
      <c r="E134" s="4" t="s">
        <v>18</v>
      </c>
      <c r="F134" s="4" t="s">
        <v>19</v>
      </c>
      <c r="G134" s="4" t="s">
        <v>20</v>
      </c>
      <c r="H134" s="4" t="s">
        <v>21</v>
      </c>
      <c r="I134" s="5" t="s">
        <v>21</v>
      </c>
      <c r="J134" s="1" t="s">
        <v>661</v>
      </c>
      <c r="K134" s="1" t="s">
        <v>662</v>
      </c>
      <c r="L134" s="1" t="s">
        <v>663</v>
      </c>
      <c r="M134" s="4" t="str">
        <f t="shared" si="0"/>
        <v>Outstanding</v>
      </c>
      <c r="N134" s="13" t="s">
        <v>21</v>
      </c>
    </row>
    <row r="135" spans="1:14" ht="60" customHeight="1" x14ac:dyDescent="0.35">
      <c r="A135" s="11" t="s">
        <v>664</v>
      </c>
      <c r="B135" s="1" t="s">
        <v>665</v>
      </c>
      <c r="C135" s="2" t="s">
        <v>27</v>
      </c>
      <c r="D135" s="3" t="s">
        <v>379</v>
      </c>
      <c r="E135" s="4" t="s">
        <v>18</v>
      </c>
      <c r="F135" s="4" t="s">
        <v>19</v>
      </c>
      <c r="G135" s="4" t="s">
        <v>20</v>
      </c>
      <c r="H135" s="4" t="s">
        <v>21</v>
      </c>
      <c r="I135" s="5" t="s">
        <v>21</v>
      </c>
      <c r="J135" s="1" t="s">
        <v>666</v>
      </c>
      <c r="K135" s="1" t="s">
        <v>667</v>
      </c>
      <c r="L135" s="1" t="s">
        <v>668</v>
      </c>
      <c r="M135" s="4" t="str">
        <f t="shared" si="0"/>
        <v>Outstanding</v>
      </c>
      <c r="N135" s="13" t="s">
        <v>21</v>
      </c>
    </row>
    <row r="136" spans="1:14" ht="60" customHeight="1" x14ac:dyDescent="0.35">
      <c r="A136" s="11" t="s">
        <v>669</v>
      </c>
      <c r="B136" s="1" t="s">
        <v>670</v>
      </c>
      <c r="C136" s="2" t="s">
        <v>16</v>
      </c>
      <c r="D136" s="3" t="s">
        <v>379</v>
      </c>
      <c r="E136" s="4" t="s">
        <v>18</v>
      </c>
      <c r="F136" s="4" t="s">
        <v>19</v>
      </c>
      <c r="G136" s="4" t="s">
        <v>20</v>
      </c>
      <c r="H136" s="4" t="s">
        <v>21</v>
      </c>
      <c r="I136" s="5" t="s">
        <v>21</v>
      </c>
      <c r="J136" s="1" t="s">
        <v>671</v>
      </c>
      <c r="K136" s="1" t="s">
        <v>672</v>
      </c>
      <c r="L136" s="1" t="s">
        <v>673</v>
      </c>
      <c r="M136" s="4" t="str">
        <f t="shared" si="0"/>
        <v>Outstanding</v>
      </c>
      <c r="N136" s="13" t="s">
        <v>21</v>
      </c>
    </row>
    <row r="137" spans="1:14" ht="60" customHeight="1" x14ac:dyDescent="0.35">
      <c r="A137" s="11" t="s">
        <v>674</v>
      </c>
      <c r="B137" s="1" t="s">
        <v>675</v>
      </c>
      <c r="C137" s="2" t="s">
        <v>16</v>
      </c>
      <c r="D137" s="3" t="s">
        <v>379</v>
      </c>
      <c r="E137" s="4" t="s">
        <v>18</v>
      </c>
      <c r="F137" s="4" t="s">
        <v>19</v>
      </c>
      <c r="G137" s="4" t="s">
        <v>20</v>
      </c>
      <c r="H137" s="4" t="s">
        <v>21</v>
      </c>
      <c r="I137" s="5" t="s">
        <v>21</v>
      </c>
      <c r="J137" s="1" t="s">
        <v>676</v>
      </c>
      <c r="K137" s="1" t="s">
        <v>677</v>
      </c>
      <c r="L137" s="1" t="s">
        <v>678</v>
      </c>
      <c r="M137" s="4" t="str">
        <f t="shared" si="0"/>
        <v>Outstanding</v>
      </c>
      <c r="N137" s="13" t="s">
        <v>21</v>
      </c>
    </row>
    <row r="138" spans="1:14" ht="60" customHeight="1" x14ac:dyDescent="0.35">
      <c r="A138" s="11" t="s">
        <v>679</v>
      </c>
      <c r="B138" s="1" t="s">
        <v>680</v>
      </c>
      <c r="C138" s="2" t="s">
        <v>16</v>
      </c>
      <c r="D138" s="3" t="s">
        <v>379</v>
      </c>
      <c r="E138" s="4" t="s">
        <v>18</v>
      </c>
      <c r="F138" s="4" t="s">
        <v>19</v>
      </c>
      <c r="G138" s="4" t="s">
        <v>20</v>
      </c>
      <c r="H138" s="4" t="s">
        <v>21</v>
      </c>
      <c r="I138" s="5" t="s">
        <v>21</v>
      </c>
      <c r="J138" s="1" t="s">
        <v>681</v>
      </c>
      <c r="K138" s="1" t="s">
        <v>682</v>
      </c>
      <c r="L138" s="1" t="s">
        <v>683</v>
      </c>
      <c r="M138" s="4" t="str">
        <f t="shared" si="0"/>
        <v>Outstanding</v>
      </c>
      <c r="N138" s="13" t="s">
        <v>21</v>
      </c>
    </row>
    <row r="139" spans="1:14" ht="60" customHeight="1" x14ac:dyDescent="0.35">
      <c r="A139" s="11" t="s">
        <v>684</v>
      </c>
      <c r="B139" s="1" t="s">
        <v>685</v>
      </c>
      <c r="C139" s="2" t="s">
        <v>27</v>
      </c>
      <c r="D139" s="3" t="s">
        <v>686</v>
      </c>
      <c r="E139" s="4" t="s">
        <v>18</v>
      </c>
      <c r="F139" s="4" t="s">
        <v>19</v>
      </c>
      <c r="G139" s="4" t="s">
        <v>20</v>
      </c>
      <c r="H139" s="4" t="s">
        <v>21</v>
      </c>
      <c r="I139" s="5" t="s">
        <v>21</v>
      </c>
      <c r="J139" s="1" t="s">
        <v>687</v>
      </c>
      <c r="K139" s="1" t="s">
        <v>688</v>
      </c>
      <c r="L139" s="1" t="s">
        <v>689</v>
      </c>
      <c r="M139" s="4" t="str">
        <f t="shared" si="0"/>
        <v>Outstanding</v>
      </c>
      <c r="N139" s="13" t="s">
        <v>21</v>
      </c>
    </row>
    <row r="140" spans="1:14" ht="60" customHeight="1" x14ac:dyDescent="0.35">
      <c r="A140" s="11" t="s">
        <v>690</v>
      </c>
      <c r="B140" s="1" t="s">
        <v>691</v>
      </c>
      <c r="C140" s="2" t="s">
        <v>27</v>
      </c>
      <c r="D140" s="3" t="s">
        <v>686</v>
      </c>
      <c r="E140" s="4" t="s">
        <v>18</v>
      </c>
      <c r="F140" s="4" t="s">
        <v>19</v>
      </c>
      <c r="G140" s="4" t="s">
        <v>20</v>
      </c>
      <c r="H140" s="4" t="s">
        <v>21</v>
      </c>
      <c r="I140" s="5" t="s">
        <v>21</v>
      </c>
      <c r="J140" s="1" t="s">
        <v>692</v>
      </c>
      <c r="K140" s="1" t="s">
        <v>688</v>
      </c>
      <c r="L140" s="1" t="s">
        <v>693</v>
      </c>
      <c r="M140" s="4" t="str">
        <f t="shared" si="0"/>
        <v>Outstanding</v>
      </c>
      <c r="N140" s="13" t="s">
        <v>21</v>
      </c>
    </row>
    <row r="141" spans="1:14" ht="60" customHeight="1" x14ac:dyDescent="0.35">
      <c r="A141" s="11" t="s">
        <v>694</v>
      </c>
      <c r="B141" s="1" t="s">
        <v>695</v>
      </c>
      <c r="C141" s="2" t="s">
        <v>27</v>
      </c>
      <c r="D141" s="3" t="s">
        <v>686</v>
      </c>
      <c r="E141" s="4" t="s">
        <v>18</v>
      </c>
      <c r="F141" s="4" t="s">
        <v>19</v>
      </c>
      <c r="G141" s="4" t="s">
        <v>20</v>
      </c>
      <c r="H141" s="4" t="s">
        <v>21</v>
      </c>
      <c r="I141" s="5" t="s">
        <v>21</v>
      </c>
      <c r="J141" s="1" t="s">
        <v>696</v>
      </c>
      <c r="K141" s="1" t="s">
        <v>688</v>
      </c>
      <c r="L141" s="1" t="s">
        <v>697</v>
      </c>
      <c r="M141" s="4" t="str">
        <f t="shared" si="0"/>
        <v>Outstanding</v>
      </c>
      <c r="N141" s="13" t="s">
        <v>21</v>
      </c>
    </row>
    <row r="142" spans="1:14" ht="60" customHeight="1" x14ac:dyDescent="0.35">
      <c r="A142" s="11" t="s">
        <v>698</v>
      </c>
      <c r="B142" s="1" t="s">
        <v>699</v>
      </c>
      <c r="C142" s="2" t="s">
        <v>27</v>
      </c>
      <c r="D142" s="3" t="s">
        <v>686</v>
      </c>
      <c r="E142" s="4" t="s">
        <v>18</v>
      </c>
      <c r="F142" s="4" t="s">
        <v>19</v>
      </c>
      <c r="G142" s="4" t="s">
        <v>20</v>
      </c>
      <c r="H142" s="4" t="s">
        <v>21</v>
      </c>
      <c r="I142" s="5" t="s">
        <v>21</v>
      </c>
      <c r="J142" s="1" t="s">
        <v>700</v>
      </c>
      <c r="K142" s="1" t="s">
        <v>688</v>
      </c>
      <c r="L142" s="1" t="s">
        <v>701</v>
      </c>
      <c r="M142" s="4" t="str">
        <f t="shared" si="0"/>
        <v>Outstanding</v>
      </c>
      <c r="N142" s="13" t="s">
        <v>21</v>
      </c>
    </row>
    <row r="143" spans="1:14" ht="60" customHeight="1" x14ac:dyDescent="0.35">
      <c r="A143" s="11" t="s">
        <v>702</v>
      </c>
      <c r="B143" s="1" t="s">
        <v>703</v>
      </c>
      <c r="C143" s="2" t="s">
        <v>16</v>
      </c>
      <c r="D143" s="3" t="s">
        <v>686</v>
      </c>
      <c r="E143" s="4" t="s">
        <v>18</v>
      </c>
      <c r="F143" s="4" t="s">
        <v>19</v>
      </c>
      <c r="G143" s="4" t="s">
        <v>20</v>
      </c>
      <c r="H143" s="4" t="s">
        <v>21</v>
      </c>
      <c r="I143" s="5" t="s">
        <v>21</v>
      </c>
      <c r="J143" s="1" t="s">
        <v>704</v>
      </c>
      <c r="K143" s="1" t="s">
        <v>705</v>
      </c>
      <c r="L143" s="1" t="s">
        <v>706</v>
      </c>
      <c r="M143" s="4" t="str">
        <f t="shared" si="0"/>
        <v>Outstanding</v>
      </c>
      <c r="N143" s="13" t="s">
        <v>21</v>
      </c>
    </row>
    <row r="144" spans="1:14" ht="60" customHeight="1" x14ac:dyDescent="0.35">
      <c r="A144" s="11" t="s">
        <v>707</v>
      </c>
      <c r="B144" s="1" t="s">
        <v>708</v>
      </c>
      <c r="C144" s="2" t="s">
        <v>16</v>
      </c>
      <c r="D144" s="3" t="s">
        <v>686</v>
      </c>
      <c r="E144" s="4" t="s">
        <v>18</v>
      </c>
      <c r="F144" s="4" t="s">
        <v>19</v>
      </c>
      <c r="G144" s="4" t="s">
        <v>20</v>
      </c>
      <c r="H144" s="4" t="s">
        <v>21</v>
      </c>
      <c r="I144" s="5" t="s">
        <v>21</v>
      </c>
      <c r="J144" s="1" t="s">
        <v>709</v>
      </c>
      <c r="K144" s="1" t="s">
        <v>710</v>
      </c>
      <c r="L144" s="1" t="s">
        <v>711</v>
      </c>
      <c r="M144" s="4" t="str">
        <f t="shared" si="0"/>
        <v>Outstanding</v>
      </c>
      <c r="N144" s="13" t="s">
        <v>21</v>
      </c>
    </row>
    <row r="145" spans="1:14" ht="60" customHeight="1" x14ac:dyDescent="0.35">
      <c r="A145" s="11" t="s">
        <v>712</v>
      </c>
      <c r="B145" s="1" t="s">
        <v>713</v>
      </c>
      <c r="C145" s="2" t="s">
        <v>16</v>
      </c>
      <c r="D145" s="3" t="s">
        <v>686</v>
      </c>
      <c r="E145" s="4" t="s">
        <v>18</v>
      </c>
      <c r="F145" s="4" t="s">
        <v>19</v>
      </c>
      <c r="G145" s="4" t="s">
        <v>20</v>
      </c>
      <c r="H145" s="4" t="s">
        <v>21</v>
      </c>
      <c r="I145" s="5" t="s">
        <v>21</v>
      </c>
      <c r="J145" s="1" t="s">
        <v>714</v>
      </c>
      <c r="K145" s="1" t="s">
        <v>715</v>
      </c>
      <c r="L145" s="1" t="s">
        <v>716</v>
      </c>
      <c r="M145" s="4" t="str">
        <f t="shared" si="0"/>
        <v>Outstanding</v>
      </c>
      <c r="N145" s="13" t="s">
        <v>21</v>
      </c>
    </row>
    <row r="146" spans="1:14" ht="60" customHeight="1" x14ac:dyDescent="0.35">
      <c r="A146" s="11" t="s">
        <v>717</v>
      </c>
      <c r="B146" s="1" t="s">
        <v>718</v>
      </c>
      <c r="C146" s="2" t="s">
        <v>16</v>
      </c>
      <c r="D146" s="3" t="s">
        <v>686</v>
      </c>
      <c r="E146" s="4" t="s">
        <v>18</v>
      </c>
      <c r="F146" s="4" t="s">
        <v>19</v>
      </c>
      <c r="G146" s="4" t="s">
        <v>20</v>
      </c>
      <c r="H146" s="4" t="s">
        <v>21</v>
      </c>
      <c r="I146" s="5" t="s">
        <v>21</v>
      </c>
      <c r="J146" s="1" t="s">
        <v>719</v>
      </c>
      <c r="K146" s="1" t="s">
        <v>720</v>
      </c>
      <c r="L146" s="1" t="s">
        <v>721</v>
      </c>
      <c r="M146" s="4" t="str">
        <f t="shared" si="0"/>
        <v>Outstanding</v>
      </c>
      <c r="N146" s="13" t="s">
        <v>21</v>
      </c>
    </row>
    <row r="147" spans="1:14" ht="60" customHeight="1" x14ac:dyDescent="0.35">
      <c r="A147" s="11" t="s">
        <v>722</v>
      </c>
      <c r="B147" s="1" t="s">
        <v>723</v>
      </c>
      <c r="C147" s="2" t="s">
        <v>27</v>
      </c>
      <c r="D147" s="3" t="s">
        <v>686</v>
      </c>
      <c r="E147" s="4" t="s">
        <v>18</v>
      </c>
      <c r="F147" s="4" t="s">
        <v>19</v>
      </c>
      <c r="G147" s="4" t="s">
        <v>20</v>
      </c>
      <c r="H147" s="4" t="s">
        <v>21</v>
      </c>
      <c r="I147" s="5" t="s">
        <v>21</v>
      </c>
      <c r="J147" s="1" t="s">
        <v>724</v>
      </c>
      <c r="K147" s="1" t="s">
        <v>725</v>
      </c>
      <c r="L147" s="1" t="s">
        <v>726</v>
      </c>
      <c r="M147" s="4" t="str">
        <f t="shared" si="0"/>
        <v>Outstanding</v>
      </c>
      <c r="N147" s="13" t="s">
        <v>21</v>
      </c>
    </row>
    <row r="148" spans="1:14" ht="60" customHeight="1" x14ac:dyDescent="0.35">
      <c r="A148" s="11" t="s">
        <v>727</v>
      </c>
      <c r="B148" s="1" t="s">
        <v>728</v>
      </c>
      <c r="C148" s="2" t="s">
        <v>27</v>
      </c>
      <c r="D148" s="3" t="s">
        <v>686</v>
      </c>
      <c r="E148" s="4" t="s">
        <v>18</v>
      </c>
      <c r="F148" s="4" t="s">
        <v>19</v>
      </c>
      <c r="G148" s="4" t="s">
        <v>20</v>
      </c>
      <c r="H148" s="4" t="s">
        <v>21</v>
      </c>
      <c r="I148" s="5" t="s">
        <v>21</v>
      </c>
      <c r="J148" s="1" t="s">
        <v>729</v>
      </c>
      <c r="K148" s="1" t="s">
        <v>725</v>
      </c>
      <c r="L148" s="1" t="s">
        <v>730</v>
      </c>
      <c r="M148" s="4" t="str">
        <f t="shared" si="0"/>
        <v>Outstanding</v>
      </c>
      <c r="N148" s="13" t="s">
        <v>21</v>
      </c>
    </row>
    <row r="149" spans="1:14" ht="60" customHeight="1" x14ac:dyDescent="0.35">
      <c r="A149" s="11" t="s">
        <v>731</v>
      </c>
      <c r="B149" s="1" t="s">
        <v>732</v>
      </c>
      <c r="C149" s="2" t="s">
        <v>27</v>
      </c>
      <c r="D149" s="3" t="s">
        <v>686</v>
      </c>
      <c r="E149" s="4" t="s">
        <v>18</v>
      </c>
      <c r="F149" s="4" t="s">
        <v>19</v>
      </c>
      <c r="G149" s="4" t="s">
        <v>20</v>
      </c>
      <c r="H149" s="4" t="s">
        <v>21</v>
      </c>
      <c r="I149" s="5" t="s">
        <v>21</v>
      </c>
      <c r="J149" s="1" t="s">
        <v>733</v>
      </c>
      <c r="K149" s="1" t="s">
        <v>725</v>
      </c>
      <c r="L149" s="1" t="s">
        <v>734</v>
      </c>
      <c r="M149" s="4" t="str">
        <f t="shared" si="0"/>
        <v>Outstanding</v>
      </c>
      <c r="N149" s="13" t="s">
        <v>21</v>
      </c>
    </row>
    <row r="150" spans="1:14" ht="60" customHeight="1" x14ac:dyDescent="0.35">
      <c r="A150" s="11" t="s">
        <v>735</v>
      </c>
      <c r="B150" s="1" t="s">
        <v>736</v>
      </c>
      <c r="C150" s="2" t="s">
        <v>27</v>
      </c>
      <c r="D150" s="3" t="s">
        <v>686</v>
      </c>
      <c r="E150" s="4" t="s">
        <v>18</v>
      </c>
      <c r="F150" s="4" t="s">
        <v>19</v>
      </c>
      <c r="G150" s="4" t="s">
        <v>20</v>
      </c>
      <c r="H150" s="4" t="s">
        <v>21</v>
      </c>
      <c r="I150" s="5" t="s">
        <v>21</v>
      </c>
      <c r="J150" s="1" t="s">
        <v>737</v>
      </c>
      <c r="K150" s="1" t="s">
        <v>725</v>
      </c>
      <c r="L150" s="1" t="s">
        <v>738</v>
      </c>
      <c r="M150" s="4" t="str">
        <f t="shared" si="0"/>
        <v>Outstanding</v>
      </c>
      <c r="N150" s="13" t="s">
        <v>21</v>
      </c>
    </row>
    <row r="151" spans="1:14" ht="60" customHeight="1" x14ac:dyDescent="0.35">
      <c r="A151" s="11" t="s">
        <v>739</v>
      </c>
      <c r="B151" s="1" t="s">
        <v>740</v>
      </c>
      <c r="C151" s="2" t="s">
        <v>27</v>
      </c>
      <c r="D151" s="3" t="s">
        <v>686</v>
      </c>
      <c r="E151" s="4" t="s">
        <v>18</v>
      </c>
      <c r="F151" s="4" t="s">
        <v>19</v>
      </c>
      <c r="G151" s="4" t="s">
        <v>20</v>
      </c>
      <c r="H151" s="4" t="s">
        <v>21</v>
      </c>
      <c r="I151" s="5" t="s">
        <v>21</v>
      </c>
      <c r="J151" s="1" t="s">
        <v>741</v>
      </c>
      <c r="K151" s="1" t="s">
        <v>725</v>
      </c>
      <c r="L151" s="1" t="s">
        <v>742</v>
      </c>
      <c r="M151" s="4" t="str">
        <f t="shared" si="0"/>
        <v>Outstanding</v>
      </c>
      <c r="N151" s="13" t="s">
        <v>21</v>
      </c>
    </row>
    <row r="152" spans="1:14" ht="60" customHeight="1" x14ac:dyDescent="0.35">
      <c r="A152" s="11" t="s">
        <v>743</v>
      </c>
      <c r="B152" s="1" t="s">
        <v>744</v>
      </c>
      <c r="C152" s="2" t="s">
        <v>27</v>
      </c>
      <c r="D152" s="3" t="s">
        <v>686</v>
      </c>
      <c r="E152" s="4" t="s">
        <v>18</v>
      </c>
      <c r="F152" s="4" t="s">
        <v>19</v>
      </c>
      <c r="G152" s="4" t="s">
        <v>20</v>
      </c>
      <c r="H152" s="4" t="s">
        <v>21</v>
      </c>
      <c r="I152" s="5" t="s">
        <v>21</v>
      </c>
      <c r="J152" s="1" t="s">
        <v>745</v>
      </c>
      <c r="K152" s="1" t="s">
        <v>725</v>
      </c>
      <c r="L152" s="1" t="s">
        <v>746</v>
      </c>
      <c r="M152" s="4" t="str">
        <f t="shared" si="0"/>
        <v>Outstanding</v>
      </c>
      <c r="N152" s="13" t="s">
        <v>21</v>
      </c>
    </row>
    <row r="153" spans="1:14" ht="60" customHeight="1" x14ac:dyDescent="0.35">
      <c r="A153" s="11" t="s">
        <v>747</v>
      </c>
      <c r="B153" s="1" t="s">
        <v>748</v>
      </c>
      <c r="C153" s="2" t="s">
        <v>27</v>
      </c>
      <c r="D153" s="3" t="s">
        <v>686</v>
      </c>
      <c r="E153" s="4" t="s">
        <v>18</v>
      </c>
      <c r="F153" s="4" t="s">
        <v>19</v>
      </c>
      <c r="G153" s="4" t="s">
        <v>20</v>
      </c>
      <c r="H153" s="4" t="s">
        <v>21</v>
      </c>
      <c r="I153" s="5" t="s">
        <v>21</v>
      </c>
      <c r="J153" s="1" t="s">
        <v>749</v>
      </c>
      <c r="K153" s="1" t="s">
        <v>725</v>
      </c>
      <c r="L153" s="1" t="s">
        <v>750</v>
      </c>
      <c r="M153" s="4" t="str">
        <f t="shared" si="0"/>
        <v>Outstanding</v>
      </c>
      <c r="N153" s="13" t="s">
        <v>21</v>
      </c>
    </row>
    <row r="154" spans="1:14" ht="60" customHeight="1" x14ac:dyDescent="0.35">
      <c r="A154" s="11" t="s">
        <v>751</v>
      </c>
      <c r="B154" s="1" t="s">
        <v>752</v>
      </c>
      <c r="C154" s="2" t="s">
        <v>27</v>
      </c>
      <c r="D154" s="3" t="s">
        <v>686</v>
      </c>
      <c r="E154" s="4" t="s">
        <v>18</v>
      </c>
      <c r="F154" s="4" t="s">
        <v>19</v>
      </c>
      <c r="G154" s="4" t="s">
        <v>20</v>
      </c>
      <c r="H154" s="4" t="s">
        <v>21</v>
      </c>
      <c r="I154" s="5" t="s">
        <v>21</v>
      </c>
      <c r="J154" s="1" t="s">
        <v>753</v>
      </c>
      <c r="K154" s="1" t="s">
        <v>725</v>
      </c>
      <c r="L154" s="1" t="s">
        <v>754</v>
      </c>
      <c r="M154" s="4" t="str">
        <f t="shared" si="0"/>
        <v>Outstanding</v>
      </c>
      <c r="N154" s="13" t="s">
        <v>21</v>
      </c>
    </row>
    <row r="155" spans="1:14" ht="60" customHeight="1" x14ac:dyDescent="0.35">
      <c r="A155" s="11" t="s">
        <v>755</v>
      </c>
      <c r="B155" s="1" t="s">
        <v>756</v>
      </c>
      <c r="C155" s="2" t="s">
        <v>27</v>
      </c>
      <c r="D155" s="3" t="s">
        <v>686</v>
      </c>
      <c r="E155" s="4" t="s">
        <v>18</v>
      </c>
      <c r="F155" s="4" t="s">
        <v>19</v>
      </c>
      <c r="G155" s="4" t="s">
        <v>20</v>
      </c>
      <c r="H155" s="4" t="s">
        <v>21</v>
      </c>
      <c r="I155" s="5" t="s">
        <v>21</v>
      </c>
      <c r="J155" s="1" t="s">
        <v>757</v>
      </c>
      <c r="K155" s="1" t="s">
        <v>725</v>
      </c>
      <c r="L155" s="1" t="s">
        <v>758</v>
      </c>
      <c r="M155" s="4" t="str">
        <f t="shared" si="0"/>
        <v>Outstanding</v>
      </c>
      <c r="N155" s="13" t="s">
        <v>21</v>
      </c>
    </row>
    <row r="156" spans="1:14" ht="60" customHeight="1" x14ac:dyDescent="0.35">
      <c r="A156" s="11" t="s">
        <v>759</v>
      </c>
      <c r="B156" s="1" t="s">
        <v>760</v>
      </c>
      <c r="C156" s="2" t="s">
        <v>27</v>
      </c>
      <c r="D156" s="3" t="s">
        <v>686</v>
      </c>
      <c r="E156" s="4" t="s">
        <v>18</v>
      </c>
      <c r="F156" s="4" t="s">
        <v>19</v>
      </c>
      <c r="G156" s="4" t="s">
        <v>20</v>
      </c>
      <c r="H156" s="4" t="s">
        <v>21</v>
      </c>
      <c r="I156" s="5" t="s">
        <v>21</v>
      </c>
      <c r="J156" s="1" t="s">
        <v>761</v>
      </c>
      <c r="K156" s="1" t="s">
        <v>725</v>
      </c>
      <c r="L156" s="1" t="s">
        <v>762</v>
      </c>
      <c r="M156" s="4" t="str">
        <f t="shared" si="0"/>
        <v>Outstanding</v>
      </c>
      <c r="N156" s="13" t="s">
        <v>21</v>
      </c>
    </row>
    <row r="157" spans="1:14" ht="60" customHeight="1" x14ac:dyDescent="0.35">
      <c r="A157" s="11" t="s">
        <v>763</v>
      </c>
      <c r="B157" s="1" t="s">
        <v>764</v>
      </c>
      <c r="C157" s="2" t="s">
        <v>27</v>
      </c>
      <c r="D157" s="3" t="s">
        <v>686</v>
      </c>
      <c r="E157" s="4" t="s">
        <v>18</v>
      </c>
      <c r="F157" s="4" t="s">
        <v>19</v>
      </c>
      <c r="G157" s="4" t="s">
        <v>20</v>
      </c>
      <c r="H157" s="4" t="s">
        <v>21</v>
      </c>
      <c r="I157" s="5" t="s">
        <v>21</v>
      </c>
      <c r="J157" s="1" t="s">
        <v>765</v>
      </c>
      <c r="K157" s="1" t="s">
        <v>725</v>
      </c>
      <c r="L157" s="1" t="s">
        <v>766</v>
      </c>
      <c r="M157" s="4" t="str">
        <f t="shared" si="0"/>
        <v>Outstanding</v>
      </c>
      <c r="N157" s="13" t="s">
        <v>21</v>
      </c>
    </row>
    <row r="158" spans="1:14" ht="60" customHeight="1" x14ac:dyDescent="0.35">
      <c r="A158" s="11" t="s">
        <v>767</v>
      </c>
      <c r="B158" s="1" t="s">
        <v>768</v>
      </c>
      <c r="C158" s="2" t="s">
        <v>27</v>
      </c>
      <c r="D158" s="3" t="s">
        <v>686</v>
      </c>
      <c r="E158" s="4" t="s">
        <v>18</v>
      </c>
      <c r="F158" s="4" t="s">
        <v>19</v>
      </c>
      <c r="G158" s="4" t="s">
        <v>20</v>
      </c>
      <c r="H158" s="4" t="s">
        <v>21</v>
      </c>
      <c r="I158" s="5" t="s">
        <v>21</v>
      </c>
      <c r="J158" s="1" t="s">
        <v>769</v>
      </c>
      <c r="K158" s="1" t="s">
        <v>725</v>
      </c>
      <c r="L158" s="1" t="s">
        <v>770</v>
      </c>
      <c r="M158" s="4" t="str">
        <f t="shared" si="0"/>
        <v>Outstanding</v>
      </c>
      <c r="N158" s="13" t="s">
        <v>21</v>
      </c>
    </row>
    <row r="159" spans="1:14" ht="60" customHeight="1" x14ac:dyDescent="0.35">
      <c r="A159" s="11" t="s">
        <v>771</v>
      </c>
      <c r="B159" s="1" t="s">
        <v>772</v>
      </c>
      <c r="C159" s="2" t="s">
        <v>27</v>
      </c>
      <c r="D159" s="3" t="s">
        <v>686</v>
      </c>
      <c r="E159" s="4" t="s">
        <v>18</v>
      </c>
      <c r="F159" s="4" t="s">
        <v>19</v>
      </c>
      <c r="G159" s="4" t="s">
        <v>20</v>
      </c>
      <c r="H159" s="4" t="s">
        <v>21</v>
      </c>
      <c r="I159" s="5" t="s">
        <v>21</v>
      </c>
      <c r="J159" s="1" t="s">
        <v>773</v>
      </c>
      <c r="K159" s="1" t="s">
        <v>725</v>
      </c>
      <c r="L159" s="1" t="s">
        <v>774</v>
      </c>
      <c r="M159" s="4" t="str">
        <f t="shared" si="0"/>
        <v>Outstanding</v>
      </c>
      <c r="N159" s="13" t="s">
        <v>21</v>
      </c>
    </row>
    <row r="160" spans="1:14" ht="60" customHeight="1" x14ac:dyDescent="0.35">
      <c r="A160" s="11" t="s">
        <v>775</v>
      </c>
      <c r="B160" s="1" t="s">
        <v>776</v>
      </c>
      <c r="C160" s="2" t="s">
        <v>27</v>
      </c>
      <c r="D160" s="3" t="s">
        <v>686</v>
      </c>
      <c r="E160" s="4" t="s">
        <v>18</v>
      </c>
      <c r="F160" s="4" t="s">
        <v>19</v>
      </c>
      <c r="G160" s="4" t="s">
        <v>20</v>
      </c>
      <c r="H160" s="4" t="s">
        <v>21</v>
      </c>
      <c r="I160" s="5" t="s">
        <v>21</v>
      </c>
      <c r="J160" s="1" t="s">
        <v>777</v>
      </c>
      <c r="K160" s="1" t="s">
        <v>725</v>
      </c>
      <c r="L160" s="1" t="s">
        <v>778</v>
      </c>
      <c r="M160" s="4" t="str">
        <f t="shared" si="0"/>
        <v>Outstanding</v>
      </c>
      <c r="N160" s="13" t="s">
        <v>21</v>
      </c>
    </row>
    <row r="161" spans="1:14" ht="60" customHeight="1" x14ac:dyDescent="0.35">
      <c r="A161" s="11" t="s">
        <v>779</v>
      </c>
      <c r="B161" s="1" t="s">
        <v>780</v>
      </c>
      <c r="C161" s="2" t="s">
        <v>16</v>
      </c>
      <c r="D161" s="3" t="s">
        <v>686</v>
      </c>
      <c r="E161" s="4" t="s">
        <v>18</v>
      </c>
      <c r="F161" s="4" t="s">
        <v>19</v>
      </c>
      <c r="G161" s="4" t="s">
        <v>20</v>
      </c>
      <c r="H161" s="4" t="s">
        <v>21</v>
      </c>
      <c r="I161" s="5" t="s">
        <v>21</v>
      </c>
      <c r="J161" s="1" t="s">
        <v>781</v>
      </c>
      <c r="K161" s="1" t="s">
        <v>782</v>
      </c>
      <c r="L161" s="1" t="s">
        <v>783</v>
      </c>
      <c r="M161" s="4" t="str">
        <f t="shared" si="0"/>
        <v>Outstanding</v>
      </c>
      <c r="N161" s="13" t="s">
        <v>21</v>
      </c>
    </row>
    <row r="162" spans="1:14" ht="60" customHeight="1" x14ac:dyDescent="0.35">
      <c r="A162" s="11" t="s">
        <v>784</v>
      </c>
      <c r="B162" s="1" t="s">
        <v>785</v>
      </c>
      <c r="C162" s="2" t="s">
        <v>27</v>
      </c>
      <c r="D162" s="3" t="s">
        <v>686</v>
      </c>
      <c r="E162" s="4" t="s">
        <v>18</v>
      </c>
      <c r="F162" s="4" t="s">
        <v>19</v>
      </c>
      <c r="G162" s="4" t="s">
        <v>20</v>
      </c>
      <c r="H162" s="4" t="s">
        <v>21</v>
      </c>
      <c r="I162" s="5" t="s">
        <v>21</v>
      </c>
      <c r="J162" s="1" t="s">
        <v>786</v>
      </c>
      <c r="K162" s="1" t="s">
        <v>782</v>
      </c>
      <c r="L162" s="1" t="s">
        <v>787</v>
      </c>
      <c r="M162" s="4" t="str">
        <f t="shared" si="0"/>
        <v>Outstanding</v>
      </c>
      <c r="N162" s="13" t="s">
        <v>21</v>
      </c>
    </row>
    <row r="163" spans="1:14" ht="60" customHeight="1" x14ac:dyDescent="0.35">
      <c r="A163" s="11" t="s">
        <v>788</v>
      </c>
      <c r="B163" s="1" t="s">
        <v>789</v>
      </c>
      <c r="C163" s="2" t="s">
        <v>16</v>
      </c>
      <c r="D163" s="3" t="s">
        <v>686</v>
      </c>
      <c r="E163" s="4" t="s">
        <v>18</v>
      </c>
      <c r="F163" s="4" t="s">
        <v>19</v>
      </c>
      <c r="G163" s="4" t="s">
        <v>20</v>
      </c>
      <c r="H163" s="4" t="s">
        <v>21</v>
      </c>
      <c r="I163" s="5" t="s">
        <v>21</v>
      </c>
      <c r="J163" s="1" t="s">
        <v>790</v>
      </c>
      <c r="K163" s="1" t="s">
        <v>782</v>
      </c>
      <c r="L163" s="1" t="s">
        <v>791</v>
      </c>
      <c r="M163" s="4" t="str">
        <f t="shared" si="0"/>
        <v>Outstanding</v>
      </c>
      <c r="N163" s="13" t="s">
        <v>21</v>
      </c>
    </row>
    <row r="164" spans="1:14" ht="60" customHeight="1" x14ac:dyDescent="0.35">
      <c r="A164" s="11" t="s">
        <v>792</v>
      </c>
      <c r="B164" s="1" t="s">
        <v>793</v>
      </c>
      <c r="C164" s="2" t="s">
        <v>16</v>
      </c>
      <c r="D164" s="3" t="s">
        <v>686</v>
      </c>
      <c r="E164" s="4" t="s">
        <v>18</v>
      </c>
      <c r="F164" s="4" t="s">
        <v>19</v>
      </c>
      <c r="G164" s="4" t="s">
        <v>20</v>
      </c>
      <c r="H164" s="4" t="s">
        <v>21</v>
      </c>
      <c r="I164" s="5" t="s">
        <v>21</v>
      </c>
      <c r="J164" s="1" t="s">
        <v>794</v>
      </c>
      <c r="K164" s="1" t="s">
        <v>782</v>
      </c>
      <c r="L164" s="1" t="s">
        <v>795</v>
      </c>
      <c r="M164" s="4" t="str">
        <f t="shared" si="0"/>
        <v>Outstanding</v>
      </c>
      <c r="N164" s="13" t="s">
        <v>21</v>
      </c>
    </row>
    <row r="165" spans="1:14" ht="60" customHeight="1" x14ac:dyDescent="0.35">
      <c r="A165" s="11" t="s">
        <v>796</v>
      </c>
      <c r="B165" s="1" t="s">
        <v>797</v>
      </c>
      <c r="C165" s="2" t="s">
        <v>16</v>
      </c>
      <c r="D165" s="3" t="s">
        <v>686</v>
      </c>
      <c r="E165" s="4" t="s">
        <v>18</v>
      </c>
      <c r="F165" s="4" t="s">
        <v>19</v>
      </c>
      <c r="G165" s="4" t="s">
        <v>20</v>
      </c>
      <c r="H165" s="4" t="s">
        <v>21</v>
      </c>
      <c r="I165" s="5" t="s">
        <v>21</v>
      </c>
      <c r="J165" s="1" t="s">
        <v>798</v>
      </c>
      <c r="K165" s="1" t="s">
        <v>782</v>
      </c>
      <c r="L165" s="1" t="s">
        <v>799</v>
      </c>
      <c r="M165" s="4" t="str">
        <f t="shared" si="0"/>
        <v>Outstanding</v>
      </c>
      <c r="N165" s="13" t="s">
        <v>21</v>
      </c>
    </row>
    <row r="166" spans="1:14" ht="60" customHeight="1" x14ac:dyDescent="0.35">
      <c r="A166" s="11" t="s">
        <v>800</v>
      </c>
      <c r="B166" s="1" t="s">
        <v>801</v>
      </c>
      <c r="C166" s="2" t="s">
        <v>16</v>
      </c>
      <c r="D166" s="3" t="s">
        <v>686</v>
      </c>
      <c r="E166" s="4" t="s">
        <v>18</v>
      </c>
      <c r="F166" s="4" t="s">
        <v>19</v>
      </c>
      <c r="G166" s="4" t="s">
        <v>20</v>
      </c>
      <c r="H166" s="4" t="s">
        <v>21</v>
      </c>
      <c r="I166" s="5" t="s">
        <v>21</v>
      </c>
      <c r="J166" s="1" t="s">
        <v>802</v>
      </c>
      <c r="K166" s="1" t="s">
        <v>803</v>
      </c>
      <c r="L166" s="1" t="s">
        <v>804</v>
      </c>
      <c r="M166" s="4" t="str">
        <f t="shared" si="0"/>
        <v>Outstanding</v>
      </c>
      <c r="N166" s="13" t="s">
        <v>21</v>
      </c>
    </row>
    <row r="167" spans="1:14" ht="60" customHeight="1" x14ac:dyDescent="0.35">
      <c r="A167" s="11" t="s">
        <v>805</v>
      </c>
      <c r="B167" s="1" t="s">
        <v>806</v>
      </c>
      <c r="C167" s="2" t="s">
        <v>16</v>
      </c>
      <c r="D167" s="3" t="s">
        <v>686</v>
      </c>
      <c r="E167" s="4" t="s">
        <v>18</v>
      </c>
      <c r="F167" s="4" t="s">
        <v>19</v>
      </c>
      <c r="G167" s="4" t="s">
        <v>20</v>
      </c>
      <c r="H167" s="4" t="s">
        <v>21</v>
      </c>
      <c r="I167" s="5" t="s">
        <v>21</v>
      </c>
      <c r="J167" s="1" t="s">
        <v>807</v>
      </c>
      <c r="K167" s="1" t="s">
        <v>808</v>
      </c>
      <c r="L167" s="1" t="s">
        <v>809</v>
      </c>
      <c r="M167" s="4" t="str">
        <f t="shared" si="0"/>
        <v>Outstanding</v>
      </c>
      <c r="N167" s="13" t="s">
        <v>21</v>
      </c>
    </row>
    <row r="168" spans="1:14" ht="60" customHeight="1" x14ac:dyDescent="0.35">
      <c r="A168" s="11" t="s">
        <v>810</v>
      </c>
      <c r="B168" s="1" t="s">
        <v>811</v>
      </c>
      <c r="C168" s="2" t="s">
        <v>27</v>
      </c>
      <c r="D168" s="3" t="s">
        <v>686</v>
      </c>
      <c r="E168" s="4" t="s">
        <v>18</v>
      </c>
      <c r="F168" s="4" t="s">
        <v>19</v>
      </c>
      <c r="G168" s="4" t="s">
        <v>20</v>
      </c>
      <c r="H168" s="4" t="s">
        <v>21</v>
      </c>
      <c r="I168" s="5" t="s">
        <v>21</v>
      </c>
      <c r="J168" s="1" t="s">
        <v>812</v>
      </c>
      <c r="K168" s="1" t="s">
        <v>813</v>
      </c>
      <c r="L168" s="1" t="s">
        <v>814</v>
      </c>
      <c r="M168" s="4" t="str">
        <f t="shared" si="0"/>
        <v>Outstanding</v>
      </c>
      <c r="N168" s="13" t="s">
        <v>21</v>
      </c>
    </row>
    <row r="169" spans="1:14" ht="60" customHeight="1" x14ac:dyDescent="0.35">
      <c r="A169" s="11" t="s">
        <v>815</v>
      </c>
      <c r="B169" s="1" t="s">
        <v>816</v>
      </c>
      <c r="C169" s="2" t="s">
        <v>16</v>
      </c>
      <c r="D169" s="3" t="s">
        <v>686</v>
      </c>
      <c r="E169" s="4" t="s">
        <v>18</v>
      </c>
      <c r="F169" s="4" t="s">
        <v>19</v>
      </c>
      <c r="G169" s="4" t="s">
        <v>20</v>
      </c>
      <c r="H169" s="4" t="s">
        <v>21</v>
      </c>
      <c r="I169" s="5" t="s">
        <v>21</v>
      </c>
      <c r="J169" s="1" t="s">
        <v>817</v>
      </c>
      <c r="K169" s="1" t="s">
        <v>818</v>
      </c>
      <c r="L169" s="1" t="s">
        <v>819</v>
      </c>
      <c r="M169" s="4" t="str">
        <f t="shared" si="0"/>
        <v>Outstanding</v>
      </c>
      <c r="N169" s="13" t="s">
        <v>21</v>
      </c>
    </row>
    <row r="170" spans="1:14" ht="60" customHeight="1" x14ac:dyDescent="0.35">
      <c r="A170" s="11" t="s">
        <v>820</v>
      </c>
      <c r="B170" s="1" t="s">
        <v>821</v>
      </c>
      <c r="C170" s="2" t="s">
        <v>16</v>
      </c>
      <c r="D170" s="3" t="s">
        <v>686</v>
      </c>
      <c r="E170" s="4" t="s">
        <v>18</v>
      </c>
      <c r="F170" s="4" t="s">
        <v>19</v>
      </c>
      <c r="G170" s="4" t="s">
        <v>20</v>
      </c>
      <c r="H170" s="4" t="s">
        <v>21</v>
      </c>
      <c r="I170" s="5" t="s">
        <v>21</v>
      </c>
      <c r="J170" s="1" t="s">
        <v>822</v>
      </c>
      <c r="K170" s="1" t="s">
        <v>823</v>
      </c>
      <c r="L170" s="1" t="s">
        <v>824</v>
      </c>
      <c r="M170" s="4" t="str">
        <f t="shared" si="0"/>
        <v>Outstanding</v>
      </c>
      <c r="N170" s="13" t="s">
        <v>21</v>
      </c>
    </row>
    <row r="171" spans="1:14" ht="60" customHeight="1" x14ac:dyDescent="0.35">
      <c r="A171" s="11" t="s">
        <v>825</v>
      </c>
      <c r="B171" s="1" t="s">
        <v>826</v>
      </c>
      <c r="C171" s="2" t="s">
        <v>27</v>
      </c>
      <c r="D171" s="3" t="s">
        <v>686</v>
      </c>
      <c r="E171" s="4" t="s">
        <v>18</v>
      </c>
      <c r="F171" s="4" t="s">
        <v>19</v>
      </c>
      <c r="G171" s="4" t="s">
        <v>20</v>
      </c>
      <c r="H171" s="4" t="s">
        <v>21</v>
      </c>
      <c r="I171" s="5" t="s">
        <v>21</v>
      </c>
      <c r="J171" s="1" t="s">
        <v>827</v>
      </c>
      <c r="K171" s="1" t="s">
        <v>828</v>
      </c>
      <c r="L171" s="1" t="s">
        <v>829</v>
      </c>
      <c r="M171" s="4" t="str">
        <f t="shared" si="0"/>
        <v>Outstanding</v>
      </c>
      <c r="N171" s="13" t="s">
        <v>21</v>
      </c>
    </row>
    <row r="172" spans="1:14" ht="60" customHeight="1" x14ac:dyDescent="0.35">
      <c r="A172" s="11" t="s">
        <v>830</v>
      </c>
      <c r="B172" s="1" t="s">
        <v>831</v>
      </c>
      <c r="C172" s="2" t="s">
        <v>27</v>
      </c>
      <c r="D172" s="3" t="s">
        <v>686</v>
      </c>
      <c r="E172" s="4" t="s">
        <v>18</v>
      </c>
      <c r="F172" s="4" t="s">
        <v>19</v>
      </c>
      <c r="G172" s="4" t="s">
        <v>20</v>
      </c>
      <c r="H172" s="4" t="s">
        <v>21</v>
      </c>
      <c r="I172" s="5" t="s">
        <v>21</v>
      </c>
      <c r="J172" s="1" t="s">
        <v>832</v>
      </c>
      <c r="K172" s="1" t="s">
        <v>833</v>
      </c>
      <c r="L172" s="1" t="s">
        <v>834</v>
      </c>
      <c r="M172" s="4" t="str">
        <f t="shared" si="0"/>
        <v>Outstanding</v>
      </c>
      <c r="N172" s="13" t="s">
        <v>21</v>
      </c>
    </row>
    <row r="173" spans="1:14" ht="60" customHeight="1" x14ac:dyDescent="0.35">
      <c r="A173" s="11" t="s">
        <v>835</v>
      </c>
      <c r="B173" s="1" t="s">
        <v>836</v>
      </c>
      <c r="C173" s="2" t="s">
        <v>27</v>
      </c>
      <c r="D173" s="3" t="s">
        <v>686</v>
      </c>
      <c r="E173" s="4" t="s">
        <v>18</v>
      </c>
      <c r="F173" s="4" t="s">
        <v>19</v>
      </c>
      <c r="G173" s="4" t="s">
        <v>20</v>
      </c>
      <c r="H173" s="4" t="s">
        <v>21</v>
      </c>
      <c r="I173" s="5" t="s">
        <v>21</v>
      </c>
      <c r="J173" s="1" t="s">
        <v>837</v>
      </c>
      <c r="K173" s="1" t="s">
        <v>838</v>
      </c>
      <c r="L173" s="1" t="s">
        <v>839</v>
      </c>
      <c r="M173" s="4" t="str">
        <f t="shared" si="0"/>
        <v>Outstanding</v>
      </c>
      <c r="N173" s="13" t="s">
        <v>21</v>
      </c>
    </row>
    <row r="174" spans="1:14" ht="60" customHeight="1" x14ac:dyDescent="0.35">
      <c r="A174" s="11" t="s">
        <v>840</v>
      </c>
      <c r="B174" s="1" t="s">
        <v>841</v>
      </c>
      <c r="C174" s="2" t="s">
        <v>16</v>
      </c>
      <c r="D174" s="3" t="s">
        <v>686</v>
      </c>
      <c r="E174" s="4" t="s">
        <v>18</v>
      </c>
      <c r="F174" s="4" t="s">
        <v>19</v>
      </c>
      <c r="G174" s="4" t="s">
        <v>20</v>
      </c>
      <c r="H174" s="4" t="s">
        <v>21</v>
      </c>
      <c r="I174" s="5" t="s">
        <v>21</v>
      </c>
      <c r="J174" s="1" t="s">
        <v>842</v>
      </c>
      <c r="K174" s="1" t="s">
        <v>843</v>
      </c>
      <c r="L174" s="1" t="s">
        <v>844</v>
      </c>
      <c r="M174" s="4" t="str">
        <f t="shared" si="0"/>
        <v>Outstanding</v>
      </c>
      <c r="N174" s="13" t="s">
        <v>21</v>
      </c>
    </row>
    <row r="175" spans="1:14" ht="60" customHeight="1" x14ac:dyDescent="0.35">
      <c r="A175" s="11" t="s">
        <v>845</v>
      </c>
      <c r="B175" s="1" t="s">
        <v>846</v>
      </c>
      <c r="C175" s="2" t="s">
        <v>16</v>
      </c>
      <c r="D175" s="3" t="s">
        <v>686</v>
      </c>
      <c r="E175" s="4" t="s">
        <v>18</v>
      </c>
      <c r="F175" s="4" t="s">
        <v>19</v>
      </c>
      <c r="G175" s="4" t="s">
        <v>20</v>
      </c>
      <c r="H175" s="4" t="s">
        <v>21</v>
      </c>
      <c r="I175" s="5" t="s">
        <v>21</v>
      </c>
      <c r="J175" s="1" t="s">
        <v>847</v>
      </c>
      <c r="K175" s="1" t="s">
        <v>848</v>
      </c>
      <c r="L175" s="1" t="s">
        <v>849</v>
      </c>
      <c r="M175" s="4" t="str">
        <f t="shared" si="0"/>
        <v>Outstanding</v>
      </c>
      <c r="N175" s="13" t="s">
        <v>21</v>
      </c>
    </row>
    <row r="176" spans="1:14" ht="60" customHeight="1" x14ac:dyDescent="0.35">
      <c r="A176" s="11" t="s">
        <v>850</v>
      </c>
      <c r="B176" s="1" t="s">
        <v>851</v>
      </c>
      <c r="C176" s="2" t="s">
        <v>27</v>
      </c>
      <c r="D176" s="3" t="s">
        <v>686</v>
      </c>
      <c r="E176" s="4" t="s">
        <v>18</v>
      </c>
      <c r="F176" s="4" t="s">
        <v>19</v>
      </c>
      <c r="G176" s="4" t="s">
        <v>20</v>
      </c>
      <c r="H176" s="4" t="s">
        <v>21</v>
      </c>
      <c r="I176" s="5" t="s">
        <v>21</v>
      </c>
      <c r="J176" s="1" t="s">
        <v>852</v>
      </c>
      <c r="K176" s="1" t="s">
        <v>853</v>
      </c>
      <c r="L176" s="1" t="s">
        <v>854</v>
      </c>
      <c r="M176" s="4" t="str">
        <f t="shared" si="0"/>
        <v>Outstanding</v>
      </c>
      <c r="N176" s="13" t="s">
        <v>21</v>
      </c>
    </row>
    <row r="177" spans="1:14" ht="60" customHeight="1" x14ac:dyDescent="0.35">
      <c r="A177" s="11" t="s">
        <v>855</v>
      </c>
      <c r="B177" s="1" t="s">
        <v>856</v>
      </c>
      <c r="C177" s="2" t="s">
        <v>16</v>
      </c>
      <c r="D177" s="3" t="s">
        <v>686</v>
      </c>
      <c r="E177" s="4" t="s">
        <v>18</v>
      </c>
      <c r="F177" s="4" t="s">
        <v>19</v>
      </c>
      <c r="G177" s="4" t="s">
        <v>20</v>
      </c>
      <c r="H177" s="4" t="s">
        <v>21</v>
      </c>
      <c r="I177" s="5" t="s">
        <v>21</v>
      </c>
      <c r="J177" s="1" t="s">
        <v>857</v>
      </c>
      <c r="K177" s="1" t="s">
        <v>858</v>
      </c>
      <c r="L177" s="1" t="s">
        <v>859</v>
      </c>
      <c r="M177" s="4" t="str">
        <f t="shared" si="0"/>
        <v>Outstanding</v>
      </c>
      <c r="N177" s="13" t="s">
        <v>21</v>
      </c>
    </row>
    <row r="178" spans="1:14" ht="60" customHeight="1" x14ac:dyDescent="0.35">
      <c r="A178" s="12" t="s">
        <v>860</v>
      </c>
      <c r="B178" s="6" t="s">
        <v>861</v>
      </c>
      <c r="C178" s="7" t="s">
        <v>16</v>
      </c>
      <c r="D178" s="8" t="s">
        <v>17</v>
      </c>
      <c r="E178" s="9" t="s">
        <v>18</v>
      </c>
      <c r="F178" s="9" t="s">
        <v>19</v>
      </c>
      <c r="G178" s="9" t="s">
        <v>20</v>
      </c>
      <c r="H178" s="9" t="s">
        <v>21</v>
      </c>
      <c r="I178" s="10" t="s">
        <v>21</v>
      </c>
      <c r="J178" s="6" t="s">
        <v>862</v>
      </c>
      <c r="K178" s="6" t="s">
        <v>863</v>
      </c>
      <c r="L178" s="6" t="s">
        <v>864</v>
      </c>
      <c r="M178" s="9" t="str">
        <f t="shared" si="0"/>
        <v>Outstanding</v>
      </c>
      <c r="N178" s="14" t="s">
        <v>21</v>
      </c>
    </row>
    <row r="182" spans="1:14" ht="32" customHeight="1" x14ac:dyDescent="0.35">
      <c r="A182" s="291" t="s">
        <v>865</v>
      </c>
      <c r="B182" s="291"/>
      <c r="C182" s="291"/>
      <c r="D182" s="291"/>
    </row>
  </sheetData>
  <mergeCells count="1">
    <mergeCell ref="A182:D182"/>
  </mergeCells>
  <conditionalFormatting sqref="C2:C178">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7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7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7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78" xr:uid="{00000000-0002-0000-0200-000000000000}">
      <formula1>"Must,Should,Could,Won't,Unassigned"</formula1>
    </dataValidation>
    <dataValidation type="list" showErrorMessage="1" errorTitle="Invalid Value" error="Please select a value from the list: Low, Medium, High, Unassessed." sqref="F2:F178" xr:uid="{00000000-0002-0000-0200-000001000000}">
      <formula1>"Low,Medium,High,Unassessed"</formula1>
    </dataValidation>
    <dataValidation type="list" showErrorMessage="1" errorTitle="Invalid Value" error="Please select a value from the list: Phase1, Phase2, Phase3, Phase4, Phase5, Pending." sqref="G2:G17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78" xr:uid="{00000000-0002-0000-0200-000003000000}">
      <formula1>"Implemented,Testing,Failed,Compensated,Risk Accepted,N/A"</formula1>
    </dataValidation>
  </dataValidations>
  <hyperlinks>
    <hyperlink ref="A18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1019</v>
      </c>
      <c r="C2" s="308" t="s">
        <v>1019</v>
      </c>
      <c r="D2" s="308" t="s">
        <v>1019</v>
      </c>
      <c r="E2" s="308" t="s">
        <v>1019</v>
      </c>
      <c r="F2" s="308" t="s">
        <v>1019</v>
      </c>
      <c r="G2" s="308" t="s">
        <v>1019</v>
      </c>
      <c r="H2" s="312" t="s">
        <v>1020</v>
      </c>
      <c r="I2" s="312" t="s">
        <v>1020</v>
      </c>
      <c r="J2" s="312" t="s">
        <v>1020</v>
      </c>
      <c r="K2" s="312" t="s">
        <v>1020</v>
      </c>
      <c r="L2" s="312" t="s">
        <v>1020</v>
      </c>
      <c r="M2" s="311" t="s">
        <v>1021</v>
      </c>
      <c r="N2" s="311" t="s">
        <v>1021</v>
      </c>
      <c r="O2" s="313" t="s">
        <v>1022</v>
      </c>
      <c r="P2" s="313" t="s">
        <v>1022</v>
      </c>
      <c r="Q2" s="309" t="s">
        <v>12</v>
      </c>
      <c r="R2" s="309" t="s">
        <v>12</v>
      </c>
      <c r="S2" s="309" t="s">
        <v>12</v>
      </c>
      <c r="T2" s="310" t="s">
        <v>1023</v>
      </c>
    </row>
    <row r="3" spans="2:20" ht="35" customHeight="1" x14ac:dyDescent="0.35">
      <c r="B3" s="73" t="s">
        <v>1024</v>
      </c>
      <c r="C3" s="73" t="s">
        <v>1025</v>
      </c>
      <c r="D3" s="73" t="s">
        <v>1026</v>
      </c>
      <c r="E3" s="73" t="s">
        <v>1027</v>
      </c>
      <c r="F3" s="73" t="s">
        <v>1028</v>
      </c>
      <c r="G3" s="73" t="s">
        <v>10</v>
      </c>
      <c r="H3" s="74" t="s">
        <v>1029</v>
      </c>
      <c r="I3" s="74" t="s">
        <v>1030</v>
      </c>
      <c r="J3" s="74" t="s">
        <v>1031</v>
      </c>
      <c r="K3" s="74" t="s">
        <v>1032</v>
      </c>
      <c r="L3" s="74" t="s">
        <v>963</v>
      </c>
      <c r="M3" s="75" t="s">
        <v>1033</v>
      </c>
      <c r="N3" s="75" t="s">
        <v>1034</v>
      </c>
      <c r="O3" s="76" t="s">
        <v>1035</v>
      </c>
      <c r="P3" s="76" t="s">
        <v>1036</v>
      </c>
      <c r="Q3" s="77" t="s">
        <v>12</v>
      </c>
      <c r="R3" s="77" t="s">
        <v>1037</v>
      </c>
      <c r="S3" s="77" t="s">
        <v>1038</v>
      </c>
      <c r="T3" s="78" t="s">
        <v>1039</v>
      </c>
    </row>
    <row r="4" spans="2:20" ht="60" customHeight="1" x14ac:dyDescent="0.35">
      <c r="B4" s="79" t="s">
        <v>1040</v>
      </c>
      <c r="C4" s="79" t="s">
        <v>1041</v>
      </c>
      <c r="D4" s="79" t="s">
        <v>1042</v>
      </c>
      <c r="E4" s="79" t="s">
        <v>1043</v>
      </c>
      <c r="F4" s="79" t="s">
        <v>1044</v>
      </c>
      <c r="G4" s="79" t="s">
        <v>1045</v>
      </c>
      <c r="H4" s="79" t="s">
        <v>1046</v>
      </c>
      <c r="I4" s="79" t="s">
        <v>1047</v>
      </c>
      <c r="J4" s="79" t="s">
        <v>1048</v>
      </c>
      <c r="K4" s="79" t="s">
        <v>1049</v>
      </c>
      <c r="L4" s="79" t="s">
        <v>1050</v>
      </c>
      <c r="M4" s="79" t="s">
        <v>1051</v>
      </c>
      <c r="N4" s="79" t="s">
        <v>1052</v>
      </c>
      <c r="O4" s="79" t="s">
        <v>1053</v>
      </c>
      <c r="P4" s="79" t="s">
        <v>1054</v>
      </c>
      <c r="Q4" s="79" t="s">
        <v>1055</v>
      </c>
      <c r="R4" s="79" t="s">
        <v>1056</v>
      </c>
      <c r="S4" s="79" t="s">
        <v>1057</v>
      </c>
      <c r="T4" s="79" t="s">
        <v>1058</v>
      </c>
    </row>
    <row r="5" spans="2:20" ht="60" customHeight="1" x14ac:dyDescent="0.35">
      <c r="B5" s="41" t="s">
        <v>1059</v>
      </c>
      <c r="C5" s="80"/>
      <c r="D5" s="81"/>
      <c r="E5" s="81" t="s">
        <v>21</v>
      </c>
      <c r="F5" s="81" t="str">
        <f>IF(E5&lt;&gt;"", IFERROR(VLOOKUP(E5, Dashboard!$B46:$F51, 5, FALSE), ""), "")</f>
        <v/>
      </c>
      <c r="G5" s="82"/>
      <c r="H5" s="69"/>
      <c r="I5" s="69"/>
      <c r="J5" s="82"/>
      <c r="K5" s="82"/>
      <c r="L5" s="43"/>
      <c r="M5" s="43"/>
      <c r="N5" s="82"/>
      <c r="O5" s="82"/>
      <c r="P5" s="43"/>
      <c r="Q5" s="43" t="s">
        <v>21</v>
      </c>
      <c r="R5" s="82"/>
      <c r="S5" s="69"/>
      <c r="T5" s="82"/>
    </row>
    <row r="6" spans="2:20" ht="60" customHeight="1" x14ac:dyDescent="0.35">
      <c r="B6" s="41" t="s">
        <v>1060</v>
      </c>
      <c r="C6" s="80"/>
      <c r="D6" s="81"/>
      <c r="E6" s="81" t="s">
        <v>21</v>
      </c>
      <c r="F6" s="81" t="str">
        <f>IF(E6&lt;&gt;"", IFERROR(VLOOKUP(E6, Dashboard!$B46:$F51, 5, FALSE), ""), "")</f>
        <v/>
      </c>
      <c r="G6" s="82"/>
      <c r="H6" s="69"/>
      <c r="I6" s="69"/>
      <c r="J6" s="82"/>
      <c r="K6" s="82"/>
      <c r="L6" s="43"/>
      <c r="M6" s="43"/>
      <c r="N6" s="82"/>
      <c r="O6" s="82"/>
      <c r="P6" s="43"/>
      <c r="Q6" s="43" t="s">
        <v>21</v>
      </c>
      <c r="R6" s="82"/>
      <c r="S6" s="69"/>
      <c r="T6" s="82"/>
    </row>
    <row r="7" spans="2:20" ht="60" customHeight="1" x14ac:dyDescent="0.35">
      <c r="B7" s="41" t="s">
        <v>1061</v>
      </c>
      <c r="C7" s="80"/>
      <c r="D7" s="81"/>
      <c r="E7" s="81" t="s">
        <v>21</v>
      </c>
      <c r="F7" s="81" t="str">
        <f>IF(E7&lt;&gt;"", IFERROR(VLOOKUP(E7, Dashboard!$B46:$F51, 5, FALSE), ""), "")</f>
        <v/>
      </c>
      <c r="G7" s="82"/>
      <c r="H7" s="69"/>
      <c r="I7" s="69"/>
      <c r="J7" s="82"/>
      <c r="K7" s="82"/>
      <c r="L7" s="43"/>
      <c r="M7" s="43"/>
      <c r="N7" s="82"/>
      <c r="O7" s="82"/>
      <c r="P7" s="43"/>
      <c r="Q7" s="43" t="s">
        <v>21</v>
      </c>
      <c r="R7" s="82"/>
      <c r="S7" s="69"/>
      <c r="T7" s="82"/>
    </row>
    <row r="8" spans="2:20" ht="60" customHeight="1" x14ac:dyDescent="0.35">
      <c r="B8" s="41" t="s">
        <v>1062</v>
      </c>
      <c r="C8" s="80"/>
      <c r="D8" s="81"/>
      <c r="E8" s="81" t="s">
        <v>21</v>
      </c>
      <c r="F8" s="81" t="str">
        <f>IF(E8&lt;&gt;"", IFERROR(VLOOKUP(E8, Dashboard!$B46:$F51, 5, FALSE), ""), "")</f>
        <v/>
      </c>
      <c r="G8" s="82"/>
      <c r="H8" s="69"/>
      <c r="I8" s="69"/>
      <c r="J8" s="82"/>
      <c r="K8" s="82"/>
      <c r="L8" s="43"/>
      <c r="M8" s="43"/>
      <c r="N8" s="82"/>
      <c r="O8" s="82"/>
      <c r="P8" s="43"/>
      <c r="Q8" s="43" t="s">
        <v>21</v>
      </c>
      <c r="R8" s="82"/>
      <c r="S8" s="69"/>
      <c r="T8" s="82"/>
    </row>
    <row r="9" spans="2:20" ht="60" customHeight="1" x14ac:dyDescent="0.35">
      <c r="B9" s="41" t="s">
        <v>1063</v>
      </c>
      <c r="C9" s="80"/>
      <c r="D9" s="81"/>
      <c r="E9" s="81" t="s">
        <v>21</v>
      </c>
      <c r="F9" s="81" t="str">
        <f>IF(E9&lt;&gt;"", IFERROR(VLOOKUP(E9, Dashboard!$B46:$F51, 5, FALSE), ""), "")</f>
        <v/>
      </c>
      <c r="G9" s="82"/>
      <c r="H9" s="69"/>
      <c r="I9" s="69"/>
      <c r="J9" s="82"/>
      <c r="K9" s="82"/>
      <c r="L9" s="43"/>
      <c r="M9" s="43"/>
      <c r="N9" s="82"/>
      <c r="O9" s="82"/>
      <c r="P9" s="43"/>
      <c r="Q9" s="43" t="s">
        <v>21</v>
      </c>
      <c r="R9" s="82"/>
      <c r="S9" s="69"/>
      <c r="T9" s="82"/>
    </row>
    <row r="10" spans="2:20" ht="60" customHeight="1" x14ac:dyDescent="0.35">
      <c r="B10" s="41" t="s">
        <v>1064</v>
      </c>
      <c r="C10" s="80"/>
      <c r="D10" s="81"/>
      <c r="E10" s="81" t="s">
        <v>21</v>
      </c>
      <c r="F10" s="81" t="str">
        <f>IF(E10&lt;&gt;"", IFERROR(VLOOKUP(E10, Dashboard!$B46:$F51, 5, FALSE), ""), "")</f>
        <v/>
      </c>
      <c r="G10" s="82"/>
      <c r="H10" s="69"/>
      <c r="I10" s="69"/>
      <c r="J10" s="82"/>
      <c r="K10" s="82"/>
      <c r="L10" s="43"/>
      <c r="M10" s="43"/>
      <c r="N10" s="82"/>
      <c r="O10" s="82"/>
      <c r="P10" s="43"/>
      <c r="Q10" s="43" t="s">
        <v>21</v>
      </c>
      <c r="R10" s="82"/>
      <c r="S10" s="69"/>
      <c r="T10" s="82"/>
    </row>
    <row r="11" spans="2:20" ht="60" customHeight="1" x14ac:dyDescent="0.35">
      <c r="B11" s="41" t="s">
        <v>1065</v>
      </c>
      <c r="C11" s="80"/>
      <c r="D11" s="81"/>
      <c r="E11" s="81" t="s">
        <v>21</v>
      </c>
      <c r="F11" s="81" t="str">
        <f>IF(E11&lt;&gt;"", IFERROR(VLOOKUP(E11, Dashboard!$B46:$F51, 5, FALSE), ""), "")</f>
        <v/>
      </c>
      <c r="G11" s="82"/>
      <c r="H11" s="69"/>
      <c r="I11" s="69"/>
      <c r="J11" s="82"/>
      <c r="K11" s="82"/>
      <c r="L11" s="43"/>
      <c r="M11" s="43"/>
      <c r="N11" s="82"/>
      <c r="O11" s="82"/>
      <c r="P11" s="43"/>
      <c r="Q11" s="43" t="s">
        <v>21</v>
      </c>
      <c r="R11" s="82"/>
      <c r="S11" s="69"/>
      <c r="T11" s="82"/>
    </row>
    <row r="12" spans="2:20" ht="60" customHeight="1" x14ac:dyDescent="0.35">
      <c r="B12" s="41" t="s">
        <v>1066</v>
      </c>
      <c r="C12" s="80"/>
      <c r="D12" s="81"/>
      <c r="E12" s="81" t="s">
        <v>21</v>
      </c>
      <c r="F12" s="81" t="str">
        <f>IF(E12&lt;&gt;"", IFERROR(VLOOKUP(E12, Dashboard!$B46:$F51, 5, FALSE), ""), "")</f>
        <v/>
      </c>
      <c r="G12" s="82"/>
      <c r="H12" s="69"/>
      <c r="I12" s="69"/>
      <c r="J12" s="82"/>
      <c r="K12" s="82"/>
      <c r="L12" s="43"/>
      <c r="M12" s="43"/>
      <c r="N12" s="82"/>
      <c r="O12" s="82"/>
      <c r="P12" s="43"/>
      <c r="Q12" s="43" t="s">
        <v>21</v>
      </c>
      <c r="R12" s="82"/>
      <c r="S12" s="69"/>
      <c r="T12" s="82"/>
    </row>
    <row r="13" spans="2:20" ht="60" customHeight="1" x14ac:dyDescent="0.35">
      <c r="B13" s="41" t="s">
        <v>1067</v>
      </c>
      <c r="C13" s="80"/>
      <c r="D13" s="81"/>
      <c r="E13" s="81" t="s">
        <v>21</v>
      </c>
      <c r="F13" s="81" t="str">
        <f>IF(E13&lt;&gt;"", IFERROR(VLOOKUP(E13, Dashboard!$B46:$F51, 5, FALSE), ""), "")</f>
        <v/>
      </c>
      <c r="G13" s="82"/>
      <c r="H13" s="69"/>
      <c r="I13" s="69"/>
      <c r="J13" s="82"/>
      <c r="K13" s="82"/>
      <c r="L13" s="43"/>
      <c r="M13" s="43"/>
      <c r="N13" s="82"/>
      <c r="O13" s="82"/>
      <c r="P13" s="43"/>
      <c r="Q13" s="43" t="s">
        <v>21</v>
      </c>
      <c r="R13" s="82"/>
      <c r="S13" s="69"/>
      <c r="T13" s="82"/>
    </row>
    <row r="14" spans="2:20" ht="60" customHeight="1" x14ac:dyDescent="0.35">
      <c r="B14" s="41" t="s">
        <v>1068</v>
      </c>
      <c r="C14" s="80"/>
      <c r="D14" s="81"/>
      <c r="E14" s="81" t="s">
        <v>21</v>
      </c>
      <c r="F14" s="81" t="str">
        <f>IF(E14&lt;&gt;"", IFERROR(VLOOKUP(E14, Dashboard!$B46:$F51, 5, FALSE), ""), "")</f>
        <v/>
      </c>
      <c r="G14" s="82"/>
      <c r="H14" s="69"/>
      <c r="I14" s="69"/>
      <c r="J14" s="82"/>
      <c r="K14" s="82"/>
      <c r="L14" s="43"/>
      <c r="M14" s="43"/>
      <c r="N14" s="82"/>
      <c r="O14" s="82"/>
      <c r="P14" s="43"/>
      <c r="Q14" s="43" t="s">
        <v>21</v>
      </c>
      <c r="R14" s="82"/>
      <c r="S14" s="69"/>
      <c r="T14" s="82"/>
    </row>
    <row r="15" spans="2:20" ht="60" customHeight="1" x14ac:dyDescent="0.35">
      <c r="B15" s="41" t="s">
        <v>1069</v>
      </c>
      <c r="C15" s="80"/>
      <c r="D15" s="81"/>
      <c r="E15" s="81" t="s">
        <v>21</v>
      </c>
      <c r="F15" s="81" t="str">
        <f>IF(E15&lt;&gt;"", IFERROR(VLOOKUP(E15, Dashboard!$B46:$F51, 5, FALSE), ""), "")</f>
        <v/>
      </c>
      <c r="G15" s="82"/>
      <c r="H15" s="69"/>
      <c r="I15" s="69"/>
      <c r="J15" s="82"/>
      <c r="K15" s="82"/>
      <c r="L15" s="43"/>
      <c r="M15" s="43"/>
      <c r="N15" s="82"/>
      <c r="O15" s="82"/>
      <c r="P15" s="43"/>
      <c r="Q15" s="43" t="s">
        <v>21</v>
      </c>
      <c r="R15" s="82"/>
      <c r="S15" s="69"/>
      <c r="T15" s="82"/>
    </row>
    <row r="16" spans="2:20" ht="60" customHeight="1" x14ac:dyDescent="0.35">
      <c r="B16" s="41" t="s">
        <v>1070</v>
      </c>
      <c r="C16" s="80"/>
      <c r="D16" s="81"/>
      <c r="E16" s="81" t="s">
        <v>21</v>
      </c>
      <c r="F16" s="81" t="str">
        <f>IF(E16&lt;&gt;"", IFERROR(VLOOKUP(E16, Dashboard!$B46:$F51, 5, FALSE), ""), "")</f>
        <v/>
      </c>
      <c r="G16" s="82"/>
      <c r="H16" s="69"/>
      <c r="I16" s="69"/>
      <c r="J16" s="82"/>
      <c r="K16" s="82"/>
      <c r="L16" s="43"/>
      <c r="M16" s="43"/>
      <c r="N16" s="82"/>
      <c r="O16" s="82"/>
      <c r="P16" s="43"/>
      <c r="Q16" s="43" t="s">
        <v>21</v>
      </c>
      <c r="R16" s="82"/>
      <c r="S16" s="69"/>
      <c r="T16" s="82"/>
    </row>
    <row r="17" spans="2:20" ht="60" customHeight="1" x14ac:dyDescent="0.35">
      <c r="B17" s="41" t="s">
        <v>1071</v>
      </c>
      <c r="C17" s="80"/>
      <c r="D17" s="81"/>
      <c r="E17" s="81" t="s">
        <v>21</v>
      </c>
      <c r="F17" s="81" t="str">
        <f>IF(E17&lt;&gt;"", IFERROR(VLOOKUP(E17, Dashboard!$B46:$F51, 5, FALSE), ""), "")</f>
        <v/>
      </c>
      <c r="G17" s="82"/>
      <c r="H17" s="69"/>
      <c r="I17" s="69"/>
      <c r="J17" s="82"/>
      <c r="K17" s="82"/>
      <c r="L17" s="43"/>
      <c r="M17" s="43"/>
      <c r="N17" s="82"/>
      <c r="O17" s="82"/>
      <c r="P17" s="43"/>
      <c r="Q17" s="43" t="s">
        <v>21</v>
      </c>
      <c r="R17" s="82"/>
      <c r="S17" s="69"/>
      <c r="T17" s="82"/>
    </row>
    <row r="18" spans="2:20" ht="60" customHeight="1" x14ac:dyDescent="0.35">
      <c r="B18" s="41" t="s">
        <v>1072</v>
      </c>
      <c r="C18" s="80"/>
      <c r="D18" s="81"/>
      <c r="E18" s="81" t="s">
        <v>21</v>
      </c>
      <c r="F18" s="81" t="str">
        <f>IF(E18&lt;&gt;"", IFERROR(VLOOKUP(E18, Dashboard!$B46:$F51, 5, FALSE), ""), "")</f>
        <v/>
      </c>
      <c r="G18" s="82"/>
      <c r="H18" s="69"/>
      <c r="I18" s="69"/>
      <c r="J18" s="82"/>
      <c r="K18" s="82"/>
      <c r="L18" s="43"/>
      <c r="M18" s="43"/>
      <c r="N18" s="82"/>
      <c r="O18" s="82"/>
      <c r="P18" s="43"/>
      <c r="Q18" s="43" t="s">
        <v>21</v>
      </c>
      <c r="R18" s="82"/>
      <c r="S18" s="69"/>
      <c r="T18" s="82"/>
    </row>
    <row r="19" spans="2:20" ht="60" customHeight="1" x14ac:dyDescent="0.35">
      <c r="B19" s="41" t="s">
        <v>1073</v>
      </c>
      <c r="C19" s="80"/>
      <c r="D19" s="81"/>
      <c r="E19" s="81" t="s">
        <v>21</v>
      </c>
      <c r="F19" s="81" t="str">
        <f>IF(E19&lt;&gt;"", IFERROR(VLOOKUP(E19, Dashboard!$B46:$F51, 5, FALSE), ""), "")</f>
        <v/>
      </c>
      <c r="G19" s="82"/>
      <c r="H19" s="69"/>
      <c r="I19" s="69"/>
      <c r="J19" s="82"/>
      <c r="K19" s="82"/>
      <c r="L19" s="43"/>
      <c r="M19" s="43"/>
      <c r="N19" s="82"/>
      <c r="O19" s="82"/>
      <c r="P19" s="43"/>
      <c r="Q19" s="43" t="s">
        <v>21</v>
      </c>
      <c r="R19" s="82"/>
      <c r="S19" s="69"/>
      <c r="T19" s="82"/>
    </row>
    <row r="20" spans="2:20" ht="60" customHeight="1" x14ac:dyDescent="0.35">
      <c r="B20" s="41" t="s">
        <v>1074</v>
      </c>
      <c r="C20" s="80"/>
      <c r="D20" s="81"/>
      <c r="E20" s="81" t="s">
        <v>21</v>
      </c>
      <c r="F20" s="81" t="str">
        <f>IF(E20&lt;&gt;"", IFERROR(VLOOKUP(E20, Dashboard!$B46:$F51, 5, FALSE), ""), "")</f>
        <v/>
      </c>
      <c r="G20" s="82"/>
      <c r="H20" s="69"/>
      <c r="I20" s="69"/>
      <c r="J20" s="82"/>
      <c r="K20" s="82"/>
      <c r="L20" s="43"/>
      <c r="M20" s="43"/>
      <c r="N20" s="82"/>
      <c r="O20" s="82"/>
      <c r="P20" s="43"/>
      <c r="Q20" s="43" t="s">
        <v>21</v>
      </c>
      <c r="R20" s="82"/>
      <c r="S20" s="69"/>
      <c r="T20" s="82"/>
    </row>
    <row r="21" spans="2:20" ht="60" customHeight="1" x14ac:dyDescent="0.35">
      <c r="B21" s="41" t="s">
        <v>1075</v>
      </c>
      <c r="C21" s="80"/>
      <c r="D21" s="81"/>
      <c r="E21" s="81" t="s">
        <v>21</v>
      </c>
      <c r="F21" s="81" t="str">
        <f>IF(E21&lt;&gt;"", IFERROR(VLOOKUP(E21, Dashboard!$B46:$F51, 5, FALSE), ""), "")</f>
        <v/>
      </c>
      <c r="G21" s="82"/>
      <c r="H21" s="69"/>
      <c r="I21" s="69"/>
      <c r="J21" s="82"/>
      <c r="K21" s="82"/>
      <c r="L21" s="43"/>
      <c r="M21" s="43"/>
      <c r="N21" s="82"/>
      <c r="O21" s="82"/>
      <c r="P21" s="43"/>
      <c r="Q21" s="43" t="s">
        <v>21</v>
      </c>
      <c r="R21" s="82"/>
      <c r="S21" s="69"/>
      <c r="T21" s="82"/>
    </row>
    <row r="22" spans="2:20" ht="60" customHeight="1" x14ac:dyDescent="0.35">
      <c r="B22" s="41" t="s">
        <v>1076</v>
      </c>
      <c r="C22" s="80"/>
      <c r="D22" s="81"/>
      <c r="E22" s="81" t="s">
        <v>21</v>
      </c>
      <c r="F22" s="81" t="str">
        <f>IF(E22&lt;&gt;"", IFERROR(VLOOKUP(E22, Dashboard!$B46:$F51, 5, FALSE), ""), "")</f>
        <v/>
      </c>
      <c r="G22" s="82"/>
      <c r="H22" s="69"/>
      <c r="I22" s="69"/>
      <c r="J22" s="82"/>
      <c r="K22" s="82"/>
      <c r="L22" s="43"/>
      <c r="M22" s="43"/>
      <c r="N22" s="82"/>
      <c r="O22" s="82"/>
      <c r="P22" s="43"/>
      <c r="Q22" s="43" t="s">
        <v>21</v>
      </c>
      <c r="R22" s="82"/>
      <c r="S22" s="69"/>
      <c r="T22" s="82"/>
    </row>
    <row r="23" spans="2:20" ht="60" customHeight="1" x14ac:dyDescent="0.35">
      <c r="B23" s="41" t="s">
        <v>1077</v>
      </c>
      <c r="C23" s="80"/>
      <c r="D23" s="81"/>
      <c r="E23" s="81" t="s">
        <v>21</v>
      </c>
      <c r="F23" s="81" t="str">
        <f>IF(E23&lt;&gt;"", IFERROR(VLOOKUP(E23, Dashboard!$B46:$F51, 5, FALSE), ""), "")</f>
        <v/>
      </c>
      <c r="G23" s="82"/>
      <c r="H23" s="69"/>
      <c r="I23" s="69"/>
      <c r="J23" s="82"/>
      <c r="K23" s="82"/>
      <c r="L23" s="43"/>
      <c r="M23" s="43"/>
      <c r="N23" s="82"/>
      <c r="O23" s="82"/>
      <c r="P23" s="43"/>
      <c r="Q23" s="43" t="s">
        <v>21</v>
      </c>
      <c r="R23" s="82"/>
      <c r="S23" s="69"/>
      <c r="T23" s="82"/>
    </row>
    <row r="24" spans="2:20" ht="60" customHeight="1" x14ac:dyDescent="0.35">
      <c r="B24" s="41" t="s">
        <v>1078</v>
      </c>
      <c r="C24" s="80"/>
      <c r="D24" s="81"/>
      <c r="E24" s="81" t="s">
        <v>21</v>
      </c>
      <c r="F24" s="81" t="str">
        <f>IF(E24&lt;&gt;"", IFERROR(VLOOKUP(E24, Dashboard!$B46:$F51, 5, FALSE), ""), "")</f>
        <v/>
      </c>
      <c r="G24" s="82"/>
      <c r="H24" s="69"/>
      <c r="I24" s="69"/>
      <c r="J24" s="82"/>
      <c r="K24" s="82"/>
      <c r="L24" s="43"/>
      <c r="M24" s="43"/>
      <c r="N24" s="82"/>
      <c r="O24" s="82"/>
      <c r="P24" s="43"/>
      <c r="Q24" s="43" t="s">
        <v>21</v>
      </c>
      <c r="R24" s="82"/>
      <c r="S24" s="69"/>
      <c r="T24" s="82"/>
    </row>
    <row r="25" spans="2:20" ht="60" customHeight="1" x14ac:dyDescent="0.35">
      <c r="B25" s="41" t="s">
        <v>1079</v>
      </c>
      <c r="C25" s="80"/>
      <c r="D25" s="81"/>
      <c r="E25" s="81" t="s">
        <v>21</v>
      </c>
      <c r="F25" s="81" t="str">
        <f>IF(E25&lt;&gt;"", IFERROR(VLOOKUP(E25, Dashboard!$B46:$F51, 5, FALSE), ""), "")</f>
        <v/>
      </c>
      <c r="G25" s="82"/>
      <c r="H25" s="69"/>
      <c r="I25" s="69"/>
      <c r="J25" s="82"/>
      <c r="K25" s="82"/>
      <c r="L25" s="43"/>
      <c r="M25" s="43"/>
      <c r="N25" s="82"/>
      <c r="O25" s="82"/>
      <c r="P25" s="43"/>
      <c r="Q25" s="43" t="s">
        <v>21</v>
      </c>
      <c r="R25" s="82"/>
      <c r="S25" s="69"/>
      <c r="T25" s="82"/>
    </row>
    <row r="26" spans="2:20" ht="60" customHeight="1" x14ac:dyDescent="0.35">
      <c r="B26" s="41" t="s">
        <v>1080</v>
      </c>
      <c r="C26" s="80"/>
      <c r="D26" s="81"/>
      <c r="E26" s="81" t="s">
        <v>21</v>
      </c>
      <c r="F26" s="81" t="str">
        <f>IF(E26&lt;&gt;"", IFERROR(VLOOKUP(E26, Dashboard!$B46:$F51, 5, FALSE), ""), "")</f>
        <v/>
      </c>
      <c r="G26" s="82"/>
      <c r="H26" s="69"/>
      <c r="I26" s="69"/>
      <c r="J26" s="82"/>
      <c r="K26" s="82"/>
      <c r="L26" s="43"/>
      <c r="M26" s="43"/>
      <c r="N26" s="82"/>
      <c r="O26" s="82"/>
      <c r="P26" s="43"/>
      <c r="Q26" s="43" t="s">
        <v>21</v>
      </c>
      <c r="R26" s="82"/>
      <c r="S26" s="69"/>
      <c r="T26" s="82"/>
    </row>
    <row r="27" spans="2:20" ht="60" customHeight="1" x14ac:dyDescent="0.35">
      <c r="B27" s="41" t="s">
        <v>1081</v>
      </c>
      <c r="C27" s="80"/>
      <c r="D27" s="81"/>
      <c r="E27" s="81" t="s">
        <v>21</v>
      </c>
      <c r="F27" s="81" t="str">
        <f>IF(E27&lt;&gt;"", IFERROR(VLOOKUP(E27, Dashboard!$B46:$F51, 5, FALSE), ""), "")</f>
        <v/>
      </c>
      <c r="G27" s="82"/>
      <c r="H27" s="69"/>
      <c r="I27" s="69"/>
      <c r="J27" s="82"/>
      <c r="K27" s="82"/>
      <c r="L27" s="43"/>
      <c r="M27" s="43"/>
      <c r="N27" s="82"/>
      <c r="O27" s="82"/>
      <c r="P27" s="43"/>
      <c r="Q27" s="43" t="s">
        <v>21</v>
      </c>
      <c r="R27" s="82"/>
      <c r="S27" s="69"/>
      <c r="T27" s="82"/>
    </row>
    <row r="28" spans="2:20" ht="60" customHeight="1" x14ac:dyDescent="0.35">
      <c r="B28" s="41" t="s">
        <v>1082</v>
      </c>
      <c r="C28" s="80"/>
      <c r="D28" s="81"/>
      <c r="E28" s="81" t="s">
        <v>21</v>
      </c>
      <c r="F28" s="81" t="str">
        <f>IF(E28&lt;&gt;"", IFERROR(VLOOKUP(E28, Dashboard!$B46:$F51, 5, FALSE), ""), "")</f>
        <v/>
      </c>
      <c r="G28" s="82"/>
      <c r="H28" s="69"/>
      <c r="I28" s="69"/>
      <c r="J28" s="82"/>
      <c r="K28" s="82"/>
      <c r="L28" s="43"/>
      <c r="M28" s="43"/>
      <c r="N28" s="82"/>
      <c r="O28" s="82"/>
      <c r="P28" s="43"/>
      <c r="Q28" s="43" t="s">
        <v>21</v>
      </c>
      <c r="R28" s="82"/>
      <c r="S28" s="69"/>
      <c r="T28" s="82"/>
    </row>
    <row r="29" spans="2:20" ht="60" customHeight="1" x14ac:dyDescent="0.35">
      <c r="B29" s="41" t="s">
        <v>1083</v>
      </c>
      <c r="C29" s="80"/>
      <c r="D29" s="81"/>
      <c r="E29" s="81" t="s">
        <v>21</v>
      </c>
      <c r="F29" s="81" t="str">
        <f>IF(E29&lt;&gt;"", IFERROR(VLOOKUP(E29, Dashboard!$B46:$F51, 5, FALSE), ""), "")</f>
        <v/>
      </c>
      <c r="G29" s="82"/>
      <c r="H29" s="69"/>
      <c r="I29" s="69"/>
      <c r="J29" s="82"/>
      <c r="K29" s="82"/>
      <c r="L29" s="43"/>
      <c r="M29" s="43"/>
      <c r="N29" s="82"/>
      <c r="O29" s="82"/>
      <c r="P29" s="43"/>
      <c r="Q29" s="43" t="s">
        <v>21</v>
      </c>
      <c r="R29" s="82"/>
      <c r="S29" s="69"/>
      <c r="T29" s="82"/>
    </row>
    <row r="30" spans="2:20" ht="60" customHeight="1" x14ac:dyDescent="0.35">
      <c r="B30" s="41" t="s">
        <v>1084</v>
      </c>
      <c r="C30" s="80"/>
      <c r="D30" s="81"/>
      <c r="E30" s="81" t="s">
        <v>21</v>
      </c>
      <c r="F30" s="81" t="str">
        <f>IF(E30&lt;&gt;"", IFERROR(VLOOKUP(E30, Dashboard!$B46:$F51, 5, FALSE), ""), "")</f>
        <v/>
      </c>
      <c r="G30" s="82"/>
      <c r="H30" s="69"/>
      <c r="I30" s="69"/>
      <c r="J30" s="82"/>
      <c r="K30" s="82"/>
      <c r="L30" s="43"/>
      <c r="M30" s="43"/>
      <c r="N30" s="82"/>
      <c r="O30" s="82"/>
      <c r="P30" s="43"/>
      <c r="Q30" s="43" t="s">
        <v>21</v>
      </c>
      <c r="R30" s="82"/>
      <c r="S30" s="69"/>
      <c r="T30" s="82"/>
    </row>
    <row r="31" spans="2:20" ht="60" customHeight="1" x14ac:dyDescent="0.35">
      <c r="B31" s="41" t="s">
        <v>1085</v>
      </c>
      <c r="C31" s="80"/>
      <c r="D31" s="81"/>
      <c r="E31" s="81" t="s">
        <v>21</v>
      </c>
      <c r="F31" s="81" t="str">
        <f>IF(E31&lt;&gt;"", IFERROR(VLOOKUP(E31, Dashboard!$B46:$F51, 5, FALSE), ""), "")</f>
        <v/>
      </c>
      <c r="G31" s="82"/>
      <c r="H31" s="69"/>
      <c r="I31" s="69"/>
      <c r="J31" s="82"/>
      <c r="K31" s="82"/>
      <c r="L31" s="43"/>
      <c r="M31" s="43"/>
      <c r="N31" s="82"/>
      <c r="O31" s="82"/>
      <c r="P31" s="43"/>
      <c r="Q31" s="43" t="s">
        <v>21</v>
      </c>
      <c r="R31" s="82"/>
      <c r="S31" s="69"/>
      <c r="T31" s="82"/>
    </row>
    <row r="32" spans="2:20" ht="60" customHeight="1" x14ac:dyDescent="0.35">
      <c r="B32" s="41" t="s">
        <v>1086</v>
      </c>
      <c r="C32" s="80"/>
      <c r="D32" s="81"/>
      <c r="E32" s="81" t="s">
        <v>21</v>
      </c>
      <c r="F32" s="81" t="str">
        <f>IF(E32&lt;&gt;"", IFERROR(VLOOKUP(E32, Dashboard!$B46:$F51, 5, FALSE), ""), "")</f>
        <v/>
      </c>
      <c r="G32" s="82"/>
      <c r="H32" s="69"/>
      <c r="I32" s="69"/>
      <c r="J32" s="82"/>
      <c r="K32" s="82"/>
      <c r="L32" s="43"/>
      <c r="M32" s="43"/>
      <c r="N32" s="82"/>
      <c r="O32" s="82"/>
      <c r="P32" s="43"/>
      <c r="Q32" s="43" t="s">
        <v>21</v>
      </c>
      <c r="R32" s="82"/>
      <c r="S32" s="69"/>
      <c r="T32" s="82"/>
    </row>
    <row r="33" spans="2:20" ht="60" customHeight="1" x14ac:dyDescent="0.35">
      <c r="B33" s="41" t="s">
        <v>1087</v>
      </c>
      <c r="C33" s="80"/>
      <c r="D33" s="81"/>
      <c r="E33" s="81" t="s">
        <v>21</v>
      </c>
      <c r="F33" s="81" t="str">
        <f>IF(E33&lt;&gt;"", IFERROR(VLOOKUP(E33, Dashboard!$B46:$F51, 5, FALSE), ""), "")</f>
        <v/>
      </c>
      <c r="G33" s="82"/>
      <c r="H33" s="69"/>
      <c r="I33" s="69"/>
      <c r="J33" s="82"/>
      <c r="K33" s="82"/>
      <c r="L33" s="43"/>
      <c r="M33" s="43"/>
      <c r="N33" s="82"/>
      <c r="O33" s="82"/>
      <c r="P33" s="43"/>
      <c r="Q33" s="43" t="s">
        <v>21</v>
      </c>
      <c r="R33" s="82"/>
      <c r="S33" s="69"/>
      <c r="T33" s="82"/>
    </row>
    <row r="34" spans="2:20" ht="60" customHeight="1" x14ac:dyDescent="0.35">
      <c r="B34" s="41" t="s">
        <v>1088</v>
      </c>
      <c r="C34" s="80"/>
      <c r="D34" s="81"/>
      <c r="E34" s="81" t="s">
        <v>21</v>
      </c>
      <c r="F34" s="81" t="str">
        <f>IF(E34&lt;&gt;"", IFERROR(VLOOKUP(E34, Dashboard!$B46:$F51, 5, FALSE), ""), "")</f>
        <v/>
      </c>
      <c r="G34" s="82"/>
      <c r="H34" s="69"/>
      <c r="I34" s="69"/>
      <c r="J34" s="82"/>
      <c r="K34" s="82"/>
      <c r="L34" s="43"/>
      <c r="M34" s="43"/>
      <c r="N34" s="82"/>
      <c r="O34" s="82"/>
      <c r="P34" s="43"/>
      <c r="Q34" s="43" t="s">
        <v>21</v>
      </c>
      <c r="R34" s="82"/>
      <c r="S34" s="69"/>
      <c r="T34" s="82"/>
    </row>
    <row r="35" spans="2:20" ht="60" customHeight="1" x14ac:dyDescent="0.35">
      <c r="B35" s="41" t="s">
        <v>1089</v>
      </c>
      <c r="C35" s="80"/>
      <c r="D35" s="81"/>
      <c r="E35" s="81" t="s">
        <v>21</v>
      </c>
      <c r="F35" s="81" t="str">
        <f>IF(E35&lt;&gt;"", IFERROR(VLOOKUP(E35, Dashboard!$B46:$F51, 5, FALSE), ""), "")</f>
        <v/>
      </c>
      <c r="G35" s="82"/>
      <c r="H35" s="69"/>
      <c r="I35" s="69"/>
      <c r="J35" s="82"/>
      <c r="K35" s="82"/>
      <c r="L35" s="43"/>
      <c r="M35" s="43"/>
      <c r="N35" s="82"/>
      <c r="O35" s="82"/>
      <c r="P35" s="43"/>
      <c r="Q35" s="43" t="s">
        <v>21</v>
      </c>
      <c r="R35" s="82"/>
      <c r="S35" s="69"/>
      <c r="T35" s="82"/>
    </row>
    <row r="36" spans="2:20" ht="60" customHeight="1" x14ac:dyDescent="0.35">
      <c r="B36" s="41" t="s">
        <v>1090</v>
      </c>
      <c r="C36" s="80"/>
      <c r="D36" s="81"/>
      <c r="E36" s="81" t="s">
        <v>21</v>
      </c>
      <c r="F36" s="81" t="str">
        <f>IF(E36&lt;&gt;"", IFERROR(VLOOKUP(E36, Dashboard!$B46:$F51, 5, FALSE), ""), "")</f>
        <v/>
      </c>
      <c r="G36" s="82"/>
      <c r="H36" s="69"/>
      <c r="I36" s="69"/>
      <c r="J36" s="82"/>
      <c r="K36" s="82"/>
      <c r="L36" s="43"/>
      <c r="M36" s="43"/>
      <c r="N36" s="82"/>
      <c r="O36" s="82"/>
      <c r="P36" s="43"/>
      <c r="Q36" s="43" t="s">
        <v>21</v>
      </c>
      <c r="R36" s="82"/>
      <c r="S36" s="69"/>
      <c r="T36" s="82"/>
    </row>
    <row r="37" spans="2:20" ht="60" customHeight="1" x14ac:dyDescent="0.35">
      <c r="B37" s="41" t="s">
        <v>1091</v>
      </c>
      <c r="C37" s="80"/>
      <c r="D37" s="81"/>
      <c r="E37" s="81" t="s">
        <v>21</v>
      </c>
      <c r="F37" s="81" t="str">
        <f>IF(E37&lt;&gt;"", IFERROR(VLOOKUP(E37, Dashboard!$B46:$F51, 5, FALSE), ""), "")</f>
        <v/>
      </c>
      <c r="G37" s="82"/>
      <c r="H37" s="69"/>
      <c r="I37" s="69"/>
      <c r="J37" s="82"/>
      <c r="K37" s="82"/>
      <c r="L37" s="43"/>
      <c r="M37" s="43"/>
      <c r="N37" s="82"/>
      <c r="O37" s="82"/>
      <c r="P37" s="43"/>
      <c r="Q37" s="43" t="s">
        <v>21</v>
      </c>
      <c r="R37" s="82"/>
      <c r="S37" s="69"/>
      <c r="T37" s="82"/>
    </row>
    <row r="38" spans="2:20" ht="60" customHeight="1" x14ac:dyDescent="0.35">
      <c r="B38" s="41" t="s">
        <v>1092</v>
      </c>
      <c r="C38" s="80"/>
      <c r="D38" s="81"/>
      <c r="E38" s="81" t="s">
        <v>21</v>
      </c>
      <c r="F38" s="81" t="str">
        <f>IF(E38&lt;&gt;"", IFERROR(VLOOKUP(E38, Dashboard!$B46:$F51, 5, FALSE), ""), "")</f>
        <v/>
      </c>
      <c r="G38" s="82"/>
      <c r="H38" s="69"/>
      <c r="I38" s="69"/>
      <c r="J38" s="82"/>
      <c r="K38" s="82"/>
      <c r="L38" s="43"/>
      <c r="M38" s="43"/>
      <c r="N38" s="82"/>
      <c r="O38" s="82"/>
      <c r="P38" s="43"/>
      <c r="Q38" s="43" t="s">
        <v>21</v>
      </c>
      <c r="R38" s="82"/>
      <c r="S38" s="69"/>
      <c r="T38" s="82"/>
    </row>
    <row r="39" spans="2:20" ht="60" customHeight="1" x14ac:dyDescent="0.35">
      <c r="B39" s="41" t="s">
        <v>1093</v>
      </c>
      <c r="C39" s="80"/>
      <c r="D39" s="81"/>
      <c r="E39" s="81" t="s">
        <v>21</v>
      </c>
      <c r="F39" s="81" t="str">
        <f>IF(E39&lt;&gt;"", IFERROR(VLOOKUP(E39, Dashboard!$B46:$F51, 5, FALSE), ""), "")</f>
        <v/>
      </c>
      <c r="G39" s="82"/>
      <c r="H39" s="69"/>
      <c r="I39" s="69"/>
      <c r="J39" s="82"/>
      <c r="K39" s="82"/>
      <c r="L39" s="43"/>
      <c r="M39" s="43"/>
      <c r="N39" s="82"/>
      <c r="O39" s="82"/>
      <c r="P39" s="43"/>
      <c r="Q39" s="43" t="s">
        <v>21</v>
      </c>
      <c r="R39" s="82"/>
      <c r="S39" s="69"/>
      <c r="T39" s="82"/>
    </row>
    <row r="40" spans="2:20" ht="60" customHeight="1" x14ac:dyDescent="0.35">
      <c r="B40" s="41" t="s">
        <v>1094</v>
      </c>
      <c r="C40" s="80"/>
      <c r="D40" s="81"/>
      <c r="E40" s="81" t="s">
        <v>21</v>
      </c>
      <c r="F40" s="81" t="str">
        <f>IF(E40&lt;&gt;"", IFERROR(VLOOKUP(E40, Dashboard!$B46:$F51, 5, FALSE), ""), "")</f>
        <v/>
      </c>
      <c r="G40" s="82"/>
      <c r="H40" s="69"/>
      <c r="I40" s="69"/>
      <c r="J40" s="82"/>
      <c r="K40" s="82"/>
      <c r="L40" s="43"/>
      <c r="M40" s="43"/>
      <c r="N40" s="82"/>
      <c r="O40" s="82"/>
      <c r="P40" s="43"/>
      <c r="Q40" s="43" t="s">
        <v>21</v>
      </c>
      <c r="R40" s="82"/>
      <c r="S40" s="69"/>
      <c r="T40" s="82"/>
    </row>
    <row r="41" spans="2:20" ht="60" customHeight="1" x14ac:dyDescent="0.35">
      <c r="B41" s="41" t="s">
        <v>1095</v>
      </c>
      <c r="C41" s="80"/>
      <c r="D41" s="81"/>
      <c r="E41" s="81" t="s">
        <v>21</v>
      </c>
      <c r="F41" s="81" t="str">
        <f>IF(E41&lt;&gt;"", IFERROR(VLOOKUP(E41, Dashboard!$B46:$F51, 5, FALSE), ""), "")</f>
        <v/>
      </c>
      <c r="G41" s="82"/>
      <c r="H41" s="69"/>
      <c r="I41" s="69"/>
      <c r="J41" s="82"/>
      <c r="K41" s="82"/>
      <c r="L41" s="43"/>
      <c r="M41" s="43"/>
      <c r="N41" s="82"/>
      <c r="O41" s="82"/>
      <c r="P41" s="43"/>
      <c r="Q41" s="43" t="s">
        <v>21</v>
      </c>
      <c r="R41" s="82"/>
      <c r="S41" s="69"/>
      <c r="T41" s="82"/>
    </row>
    <row r="42" spans="2:20" ht="60" customHeight="1" x14ac:dyDescent="0.35">
      <c r="B42" s="41" t="s">
        <v>1096</v>
      </c>
      <c r="C42" s="80"/>
      <c r="D42" s="81"/>
      <c r="E42" s="81" t="s">
        <v>21</v>
      </c>
      <c r="F42" s="81" t="str">
        <f>IF(E42&lt;&gt;"", IFERROR(VLOOKUP(E42, Dashboard!$B46:$F51, 5, FALSE), ""), "")</f>
        <v/>
      </c>
      <c r="G42" s="82"/>
      <c r="H42" s="69"/>
      <c r="I42" s="69"/>
      <c r="J42" s="82"/>
      <c r="K42" s="82"/>
      <c r="L42" s="43"/>
      <c r="M42" s="43"/>
      <c r="N42" s="82"/>
      <c r="O42" s="82"/>
      <c r="P42" s="43"/>
      <c r="Q42" s="43" t="s">
        <v>21</v>
      </c>
      <c r="R42" s="82"/>
      <c r="S42" s="69"/>
      <c r="T42" s="82"/>
    </row>
    <row r="43" spans="2:20" ht="60" customHeight="1" x14ac:dyDescent="0.35">
      <c r="B43" s="41" t="s">
        <v>1097</v>
      </c>
      <c r="C43" s="80"/>
      <c r="D43" s="81"/>
      <c r="E43" s="81" t="s">
        <v>21</v>
      </c>
      <c r="F43" s="81" t="str">
        <f>IF(E43&lt;&gt;"", IFERROR(VLOOKUP(E43, Dashboard!$B46:$F51, 5, FALSE), ""), "")</f>
        <v/>
      </c>
      <c r="G43" s="82"/>
      <c r="H43" s="69"/>
      <c r="I43" s="69"/>
      <c r="J43" s="82"/>
      <c r="K43" s="82"/>
      <c r="L43" s="43"/>
      <c r="M43" s="43"/>
      <c r="N43" s="82"/>
      <c r="O43" s="82"/>
      <c r="P43" s="43"/>
      <c r="Q43" s="43" t="s">
        <v>21</v>
      </c>
      <c r="R43" s="82"/>
      <c r="S43" s="69"/>
      <c r="T43" s="82"/>
    </row>
    <row r="44" spans="2:20" ht="60" customHeight="1" x14ac:dyDescent="0.35">
      <c r="B44" s="41" t="s">
        <v>1098</v>
      </c>
      <c r="C44" s="80"/>
      <c r="D44" s="81"/>
      <c r="E44" s="81" t="s">
        <v>21</v>
      </c>
      <c r="F44" s="81" t="str">
        <f>IF(E44&lt;&gt;"", IFERROR(VLOOKUP(E44, Dashboard!$B46:$F51, 5, FALSE), ""), "")</f>
        <v/>
      </c>
      <c r="G44" s="82"/>
      <c r="H44" s="69"/>
      <c r="I44" s="69"/>
      <c r="J44" s="82"/>
      <c r="K44" s="82"/>
      <c r="L44" s="43"/>
      <c r="M44" s="43"/>
      <c r="N44" s="82"/>
      <c r="O44" s="82"/>
      <c r="P44" s="43"/>
      <c r="Q44" s="43" t="s">
        <v>21</v>
      </c>
      <c r="R44" s="82"/>
      <c r="S44" s="69"/>
      <c r="T44" s="82"/>
    </row>
    <row r="45" spans="2:20" ht="60" customHeight="1" x14ac:dyDescent="0.35">
      <c r="B45" s="41" t="s">
        <v>1099</v>
      </c>
      <c r="C45" s="80"/>
      <c r="D45" s="81"/>
      <c r="E45" s="81" t="s">
        <v>21</v>
      </c>
      <c r="F45" s="81" t="str">
        <f>IF(E45&lt;&gt;"", IFERROR(VLOOKUP(E45, Dashboard!$B46:$F51, 5, FALSE), ""), "")</f>
        <v/>
      </c>
      <c r="G45" s="82"/>
      <c r="H45" s="69"/>
      <c r="I45" s="69"/>
      <c r="J45" s="82"/>
      <c r="K45" s="82"/>
      <c r="L45" s="43"/>
      <c r="M45" s="43"/>
      <c r="N45" s="82"/>
      <c r="O45" s="82"/>
      <c r="P45" s="43"/>
      <c r="Q45" s="43" t="s">
        <v>21</v>
      </c>
      <c r="R45" s="82"/>
      <c r="S45" s="69"/>
      <c r="T45" s="82"/>
    </row>
    <row r="46" spans="2:20" ht="60" customHeight="1" x14ac:dyDescent="0.35">
      <c r="B46" s="41" t="s">
        <v>1100</v>
      </c>
      <c r="C46" s="80"/>
      <c r="D46" s="81"/>
      <c r="E46" s="81" t="s">
        <v>21</v>
      </c>
      <c r="F46" s="81" t="str">
        <f>IF(E46&lt;&gt;"", IFERROR(VLOOKUP(E46, Dashboard!$B46:$F51, 5, FALSE), ""), "")</f>
        <v/>
      </c>
      <c r="G46" s="82"/>
      <c r="H46" s="69"/>
      <c r="I46" s="69"/>
      <c r="J46" s="82"/>
      <c r="K46" s="82"/>
      <c r="L46" s="43"/>
      <c r="M46" s="43"/>
      <c r="N46" s="82"/>
      <c r="O46" s="82"/>
      <c r="P46" s="43"/>
      <c r="Q46" s="43" t="s">
        <v>21</v>
      </c>
      <c r="R46" s="82"/>
      <c r="S46" s="69"/>
      <c r="T46" s="82"/>
    </row>
    <row r="47" spans="2:20" ht="60" customHeight="1" x14ac:dyDescent="0.35">
      <c r="B47" s="41" t="s">
        <v>1101</v>
      </c>
      <c r="C47" s="80"/>
      <c r="D47" s="81"/>
      <c r="E47" s="81" t="s">
        <v>21</v>
      </c>
      <c r="F47" s="81" t="str">
        <f>IF(E47&lt;&gt;"", IFERROR(VLOOKUP(E47, Dashboard!$B46:$F51, 5, FALSE), ""), "")</f>
        <v/>
      </c>
      <c r="G47" s="82"/>
      <c r="H47" s="69"/>
      <c r="I47" s="69"/>
      <c r="J47" s="82"/>
      <c r="K47" s="82"/>
      <c r="L47" s="43"/>
      <c r="M47" s="43"/>
      <c r="N47" s="82"/>
      <c r="O47" s="82"/>
      <c r="P47" s="43"/>
      <c r="Q47" s="43" t="s">
        <v>21</v>
      </c>
      <c r="R47" s="82"/>
      <c r="S47" s="69"/>
      <c r="T47" s="82"/>
    </row>
    <row r="48" spans="2:20" ht="60" customHeight="1" x14ac:dyDescent="0.35">
      <c r="B48" s="41" t="s">
        <v>1102</v>
      </c>
      <c r="C48" s="80"/>
      <c r="D48" s="81"/>
      <c r="E48" s="81" t="s">
        <v>21</v>
      </c>
      <c r="F48" s="81" t="str">
        <f>IF(E48&lt;&gt;"", IFERROR(VLOOKUP(E48, Dashboard!$B46:$F51, 5, FALSE), ""), "")</f>
        <v/>
      </c>
      <c r="G48" s="82"/>
      <c r="H48" s="69"/>
      <c r="I48" s="69"/>
      <c r="J48" s="82"/>
      <c r="K48" s="82"/>
      <c r="L48" s="43"/>
      <c r="M48" s="43"/>
      <c r="N48" s="82"/>
      <c r="O48" s="82"/>
      <c r="P48" s="43"/>
      <c r="Q48" s="43" t="s">
        <v>21</v>
      </c>
      <c r="R48" s="82"/>
      <c r="S48" s="69"/>
      <c r="T48" s="82"/>
    </row>
    <row r="49" spans="2:20" ht="60" customHeight="1" x14ac:dyDescent="0.35">
      <c r="B49" s="41" t="s">
        <v>1103</v>
      </c>
      <c r="C49" s="80"/>
      <c r="D49" s="81"/>
      <c r="E49" s="81" t="s">
        <v>21</v>
      </c>
      <c r="F49" s="81" t="str">
        <f>IF(E49&lt;&gt;"", IFERROR(VLOOKUP(E49, Dashboard!$B46:$F51, 5, FALSE), ""), "")</f>
        <v/>
      </c>
      <c r="G49" s="82"/>
      <c r="H49" s="69"/>
      <c r="I49" s="69"/>
      <c r="J49" s="82"/>
      <c r="K49" s="82"/>
      <c r="L49" s="43"/>
      <c r="M49" s="43"/>
      <c r="N49" s="82"/>
      <c r="O49" s="82"/>
      <c r="P49" s="43"/>
      <c r="Q49" s="43" t="s">
        <v>21</v>
      </c>
      <c r="R49" s="82"/>
      <c r="S49" s="69"/>
      <c r="T49" s="82"/>
    </row>
    <row r="50" spans="2:20" ht="60" customHeight="1" x14ac:dyDescent="0.35">
      <c r="B50" s="41" t="s">
        <v>1104</v>
      </c>
      <c r="C50" s="80"/>
      <c r="D50" s="81"/>
      <c r="E50" s="81" t="s">
        <v>21</v>
      </c>
      <c r="F50" s="81" t="str">
        <f>IF(E50&lt;&gt;"", IFERROR(VLOOKUP(E50, Dashboard!$B46:$F51, 5, FALSE), ""), "")</f>
        <v/>
      </c>
      <c r="G50" s="82"/>
      <c r="H50" s="69"/>
      <c r="I50" s="69"/>
      <c r="J50" s="82"/>
      <c r="K50" s="82"/>
      <c r="L50" s="43"/>
      <c r="M50" s="43"/>
      <c r="N50" s="82"/>
      <c r="O50" s="82"/>
      <c r="P50" s="43"/>
      <c r="Q50" s="43" t="s">
        <v>21</v>
      </c>
      <c r="R50" s="82"/>
      <c r="S50" s="69"/>
      <c r="T50" s="82"/>
    </row>
    <row r="51" spans="2:20" ht="60" customHeight="1" x14ac:dyDescent="0.35">
      <c r="B51" s="41" t="s">
        <v>1105</v>
      </c>
      <c r="C51" s="80"/>
      <c r="D51" s="81"/>
      <c r="E51" s="81" t="s">
        <v>21</v>
      </c>
      <c r="F51" s="81" t="str">
        <f>IF(E51&lt;&gt;"", IFERROR(VLOOKUP(E51, Dashboard!$B46:$F51, 5, FALSE), ""), "")</f>
        <v/>
      </c>
      <c r="G51" s="82"/>
      <c r="H51" s="69"/>
      <c r="I51" s="69"/>
      <c r="J51" s="82"/>
      <c r="K51" s="82"/>
      <c r="L51" s="43"/>
      <c r="M51" s="43"/>
      <c r="N51" s="82"/>
      <c r="O51" s="82"/>
      <c r="P51" s="43"/>
      <c r="Q51" s="43" t="s">
        <v>21</v>
      </c>
      <c r="R51" s="82"/>
      <c r="S51" s="69"/>
      <c r="T51" s="82"/>
    </row>
    <row r="52" spans="2:20" ht="60" customHeight="1" x14ac:dyDescent="0.35">
      <c r="B52" s="41" t="s">
        <v>1106</v>
      </c>
      <c r="C52" s="80"/>
      <c r="D52" s="81"/>
      <c r="E52" s="81" t="s">
        <v>21</v>
      </c>
      <c r="F52" s="81" t="str">
        <f>IF(E52&lt;&gt;"", IFERROR(VLOOKUP(E52, Dashboard!$B46:$F51, 5, FALSE), ""), "")</f>
        <v/>
      </c>
      <c r="G52" s="82"/>
      <c r="H52" s="69"/>
      <c r="I52" s="69"/>
      <c r="J52" s="82"/>
      <c r="K52" s="82"/>
      <c r="L52" s="43"/>
      <c r="M52" s="43"/>
      <c r="N52" s="82"/>
      <c r="O52" s="82"/>
      <c r="P52" s="43"/>
      <c r="Q52" s="43" t="s">
        <v>21</v>
      </c>
      <c r="R52" s="82"/>
      <c r="S52" s="69"/>
      <c r="T52" s="82"/>
    </row>
    <row r="53" spans="2:20" ht="60" customHeight="1" x14ac:dyDescent="0.35">
      <c r="B53" s="41" t="s">
        <v>1107</v>
      </c>
      <c r="C53" s="80"/>
      <c r="D53" s="81"/>
      <c r="E53" s="81" t="s">
        <v>21</v>
      </c>
      <c r="F53" s="81" t="str">
        <f>IF(E53&lt;&gt;"", IFERROR(VLOOKUP(E53, Dashboard!$B46:$F51, 5, FALSE), ""), "")</f>
        <v/>
      </c>
      <c r="G53" s="82"/>
      <c r="H53" s="69"/>
      <c r="I53" s="69"/>
      <c r="J53" s="82"/>
      <c r="K53" s="82"/>
      <c r="L53" s="43"/>
      <c r="M53" s="43"/>
      <c r="N53" s="82"/>
      <c r="O53" s="82"/>
      <c r="P53" s="43"/>
      <c r="Q53" s="43" t="s">
        <v>21</v>
      </c>
      <c r="R53" s="82"/>
      <c r="S53" s="69"/>
      <c r="T53" s="82"/>
    </row>
    <row r="54" spans="2:20" ht="60" customHeight="1" x14ac:dyDescent="0.35">
      <c r="B54" s="41" t="s">
        <v>1108</v>
      </c>
      <c r="C54" s="80"/>
      <c r="D54" s="81"/>
      <c r="E54" s="81" t="s">
        <v>21</v>
      </c>
      <c r="F54" s="81" t="str">
        <f>IF(E54&lt;&gt;"", IFERROR(VLOOKUP(E54, Dashboard!$B46:$F51,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865</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1109</v>
      </c>
      <c r="B1" s="107" t="s">
        <v>0</v>
      </c>
      <c r="C1" s="107" t="s">
        <v>1110</v>
      </c>
      <c r="D1" s="107" t="s">
        <v>10</v>
      </c>
      <c r="E1" s="107" t="s">
        <v>1111</v>
      </c>
      <c r="F1" s="107" t="s">
        <v>1112</v>
      </c>
      <c r="G1" s="107" t="s">
        <v>1113</v>
      </c>
      <c r="H1" s="107" t="s">
        <v>1114</v>
      </c>
      <c r="I1" s="107" t="s">
        <v>1115</v>
      </c>
      <c r="J1" s="107" t="s">
        <v>1116</v>
      </c>
      <c r="K1" s="107" t="s">
        <v>1117</v>
      </c>
      <c r="L1" s="107" t="s">
        <v>1118</v>
      </c>
      <c r="M1" s="107" t="s">
        <v>1119</v>
      </c>
      <c r="N1" s="107" t="s">
        <v>1120</v>
      </c>
      <c r="O1" s="107" t="s">
        <v>1121</v>
      </c>
      <c r="P1" s="107" t="s">
        <v>1122</v>
      </c>
      <c r="Q1" s="107" t="s">
        <v>1123</v>
      </c>
      <c r="R1" s="107" t="s">
        <v>1124</v>
      </c>
      <c r="S1" s="107" t="s">
        <v>1125</v>
      </c>
      <c r="T1" s="107" t="s">
        <v>1126</v>
      </c>
      <c r="U1" s="107" t="s">
        <v>1127</v>
      </c>
      <c r="V1" s="107" t="s">
        <v>1128</v>
      </c>
      <c r="W1" s="107" t="s">
        <v>1129</v>
      </c>
      <c r="X1" s="107" t="s">
        <v>1130</v>
      </c>
      <c r="Y1" s="107" t="s">
        <v>1131</v>
      </c>
      <c r="Z1" s="107" t="s">
        <v>1132</v>
      </c>
      <c r="AA1" s="107" t="s">
        <v>1133</v>
      </c>
      <c r="AB1" s="107" t="s">
        <v>1134</v>
      </c>
      <c r="AC1" s="107" t="s">
        <v>1135</v>
      </c>
      <c r="AD1" s="107" t="s">
        <v>1136</v>
      </c>
      <c r="AE1" s="107" t="s">
        <v>1137</v>
      </c>
      <c r="AF1" s="107" t="s">
        <v>1138</v>
      </c>
      <c r="AG1" s="107" t="s">
        <v>1139</v>
      </c>
      <c r="AH1" s="107" t="s">
        <v>1140</v>
      </c>
      <c r="AI1" s="107" t="s">
        <v>1141</v>
      </c>
      <c r="AJ1" s="107" t="s">
        <v>1142</v>
      </c>
      <c r="AK1" s="107" t="s">
        <v>1143</v>
      </c>
      <c r="AL1" s="107" t="s">
        <v>1144</v>
      </c>
      <c r="AM1" s="107" t="s">
        <v>1145</v>
      </c>
      <c r="AN1" s="107" t="s">
        <v>1146</v>
      </c>
      <c r="AO1" s="107" t="s">
        <v>1147</v>
      </c>
      <c r="AP1" s="107" t="s">
        <v>1148</v>
      </c>
      <c r="AQ1" s="107" t="s">
        <v>1149</v>
      </c>
      <c r="AR1" s="107" t="s">
        <v>1150</v>
      </c>
      <c r="AS1" s="107" t="s">
        <v>1151</v>
      </c>
      <c r="AT1" s="107" t="s">
        <v>1152</v>
      </c>
      <c r="AU1" s="107" t="s">
        <v>1153</v>
      </c>
      <c r="AV1" s="107" t="s">
        <v>1154</v>
      </c>
      <c r="AW1" s="108" t="s">
        <v>1155</v>
      </c>
    </row>
    <row r="2" spans="1:49" ht="60" customHeight="1" outlineLevel="1" x14ac:dyDescent="0.35">
      <c r="A2" s="100" t="s">
        <v>1156</v>
      </c>
      <c r="B2" s="83">
        <v>1</v>
      </c>
      <c r="C2" s="85" t="s">
        <v>21</v>
      </c>
      <c r="D2" s="87" t="s">
        <v>1157</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1156</v>
      </c>
      <c r="B3" s="84" t="s">
        <v>1158</v>
      </c>
      <c r="C3" s="86" t="s">
        <v>1159</v>
      </c>
      <c r="D3" s="88" t="s">
        <v>1160</v>
      </c>
      <c r="E3" s="88" t="s">
        <v>1161</v>
      </c>
      <c r="F3" s="89" t="s">
        <v>1162</v>
      </c>
      <c r="G3" s="89" t="s">
        <v>1163</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1156</v>
      </c>
      <c r="B4" s="84" t="s">
        <v>1164</v>
      </c>
      <c r="C4" s="86" t="s">
        <v>1165</v>
      </c>
      <c r="D4" s="88" t="s">
        <v>1166</v>
      </c>
      <c r="E4" s="88" t="s">
        <v>1167</v>
      </c>
      <c r="F4" s="89" t="s">
        <v>1162</v>
      </c>
      <c r="G4" s="89" t="s">
        <v>1168</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1156</v>
      </c>
      <c r="B5" s="84" t="s">
        <v>1169</v>
      </c>
      <c r="C5" s="86" t="s">
        <v>1170</v>
      </c>
      <c r="D5" s="88" t="s">
        <v>1171</v>
      </c>
      <c r="E5" s="88" t="s">
        <v>1172</v>
      </c>
      <c r="F5" s="89" t="s">
        <v>1162</v>
      </c>
      <c r="G5" s="89" t="s">
        <v>1173</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1156</v>
      </c>
      <c r="B6" s="84" t="s">
        <v>1174</v>
      </c>
      <c r="C6" s="86" t="s">
        <v>1175</v>
      </c>
      <c r="D6" s="88" t="s">
        <v>1176</v>
      </c>
      <c r="E6" s="88" t="s">
        <v>1177</v>
      </c>
      <c r="F6" s="89" t="s">
        <v>1162</v>
      </c>
      <c r="G6" s="89" t="s">
        <v>1163</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1156</v>
      </c>
      <c r="B7" s="84" t="s">
        <v>1178</v>
      </c>
      <c r="C7" s="86" t="s">
        <v>1179</v>
      </c>
      <c r="D7" s="88" t="s">
        <v>1180</v>
      </c>
      <c r="E7" s="88" t="s">
        <v>1181</v>
      </c>
      <c r="F7" s="89" t="s">
        <v>1162</v>
      </c>
      <c r="G7" s="89" t="s">
        <v>1173</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1182</v>
      </c>
      <c r="B8" s="83">
        <v>2</v>
      </c>
      <c r="C8" s="85" t="s">
        <v>21</v>
      </c>
      <c r="D8" s="87" t="s">
        <v>1183</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1182</v>
      </c>
      <c r="B9" s="84" t="s">
        <v>1184</v>
      </c>
      <c r="C9" s="86" t="s">
        <v>1185</v>
      </c>
      <c r="D9" s="88" t="s">
        <v>1186</v>
      </c>
      <c r="E9" s="88" t="s">
        <v>1187</v>
      </c>
      <c r="F9" s="89" t="s">
        <v>1188</v>
      </c>
      <c r="G9" s="89" t="s">
        <v>1163</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1182</v>
      </c>
      <c r="B10" s="84" t="s">
        <v>1189</v>
      </c>
      <c r="C10" s="86" t="s">
        <v>1190</v>
      </c>
      <c r="D10" s="88" t="s">
        <v>1191</v>
      </c>
      <c r="E10" s="88" t="s">
        <v>1192</v>
      </c>
      <c r="F10" s="89" t="s">
        <v>1188</v>
      </c>
      <c r="G10" s="89" t="s">
        <v>1163</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1182</v>
      </c>
      <c r="B11" s="84" t="s">
        <v>1193</v>
      </c>
      <c r="C11" s="86" t="s">
        <v>1194</v>
      </c>
      <c r="D11" s="88" t="s">
        <v>1195</v>
      </c>
      <c r="E11" s="88" t="s">
        <v>1196</v>
      </c>
      <c r="F11" s="89" t="s">
        <v>1188</v>
      </c>
      <c r="G11" s="89" t="s">
        <v>1168</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1182</v>
      </c>
      <c r="B12" s="84" t="s">
        <v>1197</v>
      </c>
      <c r="C12" s="86" t="s">
        <v>1198</v>
      </c>
      <c r="D12" s="88" t="s">
        <v>1199</v>
      </c>
      <c r="E12" s="88" t="s">
        <v>1200</v>
      </c>
      <c r="F12" s="89" t="s">
        <v>1188</v>
      </c>
      <c r="G12" s="89" t="s">
        <v>1173</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1182</v>
      </c>
      <c r="B13" s="84" t="s">
        <v>1201</v>
      </c>
      <c r="C13" s="86" t="s">
        <v>1202</v>
      </c>
      <c r="D13" s="88" t="s">
        <v>1203</v>
      </c>
      <c r="E13" s="88" t="s">
        <v>1204</v>
      </c>
      <c r="F13" s="89" t="s">
        <v>1188</v>
      </c>
      <c r="G13" s="89" t="s">
        <v>1205</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1182</v>
      </c>
      <c r="B14" s="84" t="s">
        <v>1206</v>
      </c>
      <c r="C14" s="86" t="s">
        <v>1207</v>
      </c>
      <c r="D14" s="88" t="s">
        <v>1208</v>
      </c>
      <c r="E14" s="88" t="s">
        <v>1209</v>
      </c>
      <c r="F14" s="89" t="s">
        <v>1188</v>
      </c>
      <c r="G14" s="89" t="s">
        <v>1205</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1182</v>
      </c>
      <c r="B15" s="84" t="s">
        <v>1210</v>
      </c>
      <c r="C15" s="86" t="s">
        <v>1211</v>
      </c>
      <c r="D15" s="88" t="s">
        <v>1212</v>
      </c>
      <c r="E15" s="88" t="s">
        <v>1213</v>
      </c>
      <c r="F15" s="89" t="s">
        <v>1188</v>
      </c>
      <c r="G15" s="89" t="s">
        <v>1205</v>
      </c>
      <c r="H15" s="89">
        <v>3</v>
      </c>
      <c r="I15" s="91">
        <f>IF(COUNTIF(J15:AW15,"&lt;&gt;")=0,"",SUMPRODUCT(((Recommendations[ImplStatus]="Implemented")+(Recommendations[ImplStatus]="Compensated"))*ISNUMBER(MATCH(Recommendations[Id],J15:AW15,0)))/COUNTIF(J15:AW15,"&lt;&gt;"))</f>
        <v>0</v>
      </c>
      <c r="J15" s="93" t="s">
        <v>248</v>
      </c>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1214</v>
      </c>
      <c r="B16" s="83">
        <v>3</v>
      </c>
      <c r="C16" s="85" t="s">
        <v>21</v>
      </c>
      <c r="D16" s="87" t="s">
        <v>1215</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1214</v>
      </c>
      <c r="B17" s="84" t="s">
        <v>1216</v>
      </c>
      <c r="C17" s="86" t="s">
        <v>1217</v>
      </c>
      <c r="D17" s="88" t="s">
        <v>1218</v>
      </c>
      <c r="E17" s="88" t="s">
        <v>1219</v>
      </c>
      <c r="F17" s="89" t="s">
        <v>1220</v>
      </c>
      <c r="G17" s="89" t="s">
        <v>1221</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1214</v>
      </c>
      <c r="B18" s="84" t="s">
        <v>1222</v>
      </c>
      <c r="C18" s="86" t="s">
        <v>1223</v>
      </c>
      <c r="D18" s="88" t="s">
        <v>1224</v>
      </c>
      <c r="E18" s="88" t="s">
        <v>1225</v>
      </c>
      <c r="F18" s="89" t="s">
        <v>1220</v>
      </c>
      <c r="G18" s="89" t="s">
        <v>1163</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1214</v>
      </c>
      <c r="B19" s="84" t="s">
        <v>1226</v>
      </c>
      <c r="C19" s="86" t="s">
        <v>1227</v>
      </c>
      <c r="D19" s="88" t="s">
        <v>1228</v>
      </c>
      <c r="E19" s="88" t="s">
        <v>1229</v>
      </c>
      <c r="F19" s="89" t="s">
        <v>1220</v>
      </c>
      <c r="G19" s="89" t="s">
        <v>1205</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1214</v>
      </c>
      <c r="B20" s="84" t="s">
        <v>1230</v>
      </c>
      <c r="C20" s="86" t="s">
        <v>1231</v>
      </c>
      <c r="D20" s="88" t="s">
        <v>1232</v>
      </c>
      <c r="E20" s="88" t="s">
        <v>1233</v>
      </c>
      <c r="F20" s="89" t="s">
        <v>1220</v>
      </c>
      <c r="G20" s="89" t="s">
        <v>1205</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1214</v>
      </c>
      <c r="B21" s="84" t="s">
        <v>1234</v>
      </c>
      <c r="C21" s="86" t="s">
        <v>1235</v>
      </c>
      <c r="D21" s="88" t="s">
        <v>1236</v>
      </c>
      <c r="E21" s="88" t="s">
        <v>1237</v>
      </c>
      <c r="F21" s="89" t="s">
        <v>1220</v>
      </c>
      <c r="G21" s="89" t="s">
        <v>1205</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1214</v>
      </c>
      <c r="B22" s="84" t="s">
        <v>1238</v>
      </c>
      <c r="C22" s="86" t="s">
        <v>1239</v>
      </c>
      <c r="D22" s="88" t="s">
        <v>1240</v>
      </c>
      <c r="E22" s="88" t="s">
        <v>1241</v>
      </c>
      <c r="F22" s="89" t="s">
        <v>1220</v>
      </c>
      <c r="G22" s="89" t="s">
        <v>1205</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1214</v>
      </c>
      <c r="B23" s="84" t="s">
        <v>1242</v>
      </c>
      <c r="C23" s="86" t="s">
        <v>1243</v>
      </c>
      <c r="D23" s="88" t="s">
        <v>1244</v>
      </c>
      <c r="E23" s="88" t="s">
        <v>1245</v>
      </c>
      <c r="F23" s="89" t="s">
        <v>1220</v>
      </c>
      <c r="G23" s="89" t="s">
        <v>1163</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1214</v>
      </c>
      <c r="B24" s="84" t="s">
        <v>1246</v>
      </c>
      <c r="C24" s="86" t="s">
        <v>1247</v>
      </c>
      <c r="D24" s="88" t="s">
        <v>1248</v>
      </c>
      <c r="E24" s="88" t="s">
        <v>1249</v>
      </c>
      <c r="F24" s="89" t="s">
        <v>1220</v>
      </c>
      <c r="G24" s="89" t="s">
        <v>1163</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1214</v>
      </c>
      <c r="B25" s="84" t="s">
        <v>1250</v>
      </c>
      <c r="C25" s="86" t="s">
        <v>1251</v>
      </c>
      <c r="D25" s="88" t="s">
        <v>1252</v>
      </c>
      <c r="E25" s="88" t="s">
        <v>1253</v>
      </c>
      <c r="F25" s="89" t="s">
        <v>1220</v>
      </c>
      <c r="G25" s="89" t="s">
        <v>1205</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1214</v>
      </c>
      <c r="B26" s="84" t="s">
        <v>1254</v>
      </c>
      <c r="C26" s="86" t="s">
        <v>1255</v>
      </c>
      <c r="D26" s="88" t="s">
        <v>1256</v>
      </c>
      <c r="E26" s="88" t="s">
        <v>1257</v>
      </c>
      <c r="F26" s="89" t="s">
        <v>1220</v>
      </c>
      <c r="G26" s="89" t="s">
        <v>1205</v>
      </c>
      <c r="H26" s="89">
        <v>2</v>
      </c>
      <c r="I26" s="91">
        <f>IF(COUNTIF(J26:AW26,"&lt;&gt;")=0,"",SUMPRODUCT(((Recommendations[ImplStatus]="Implemented")+(Recommendations[ImplStatus]="Compensated"))*ISNUMBER(MATCH(Recommendations[Id],J26:AW26,0)))/COUNTIF(J26:AW26,"&lt;&gt;"))</f>
        <v>0</v>
      </c>
      <c r="J26" s="93" t="s">
        <v>63</v>
      </c>
      <c r="K26" s="93" t="s">
        <v>99</v>
      </c>
      <c r="L26" s="93" t="s">
        <v>465</v>
      </c>
      <c r="M26" s="93" t="s">
        <v>614</v>
      </c>
      <c r="N26" s="93" t="s">
        <v>669</v>
      </c>
      <c r="O26" s="93" t="s">
        <v>855</v>
      </c>
      <c r="P26" s="93" t="s">
        <v>860</v>
      </c>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1214</v>
      </c>
      <c r="B27" s="84" t="s">
        <v>1258</v>
      </c>
      <c r="C27" s="86" t="s">
        <v>1259</v>
      </c>
      <c r="D27" s="88" t="s">
        <v>1260</v>
      </c>
      <c r="E27" s="88" t="s">
        <v>1261</v>
      </c>
      <c r="F27" s="89" t="s">
        <v>1220</v>
      </c>
      <c r="G27" s="89" t="s">
        <v>1205</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1214</v>
      </c>
      <c r="B28" s="84" t="s">
        <v>1262</v>
      </c>
      <c r="C28" s="86" t="s">
        <v>1263</v>
      </c>
      <c r="D28" s="88" t="s">
        <v>1264</v>
      </c>
      <c r="E28" s="88" t="s">
        <v>1265</v>
      </c>
      <c r="F28" s="89" t="s">
        <v>1220</v>
      </c>
      <c r="G28" s="89" t="s">
        <v>1205</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1214</v>
      </c>
      <c r="B29" s="84" t="s">
        <v>1266</v>
      </c>
      <c r="C29" s="86" t="s">
        <v>1267</v>
      </c>
      <c r="D29" s="88" t="s">
        <v>1268</v>
      </c>
      <c r="E29" s="88" t="s">
        <v>1269</v>
      </c>
      <c r="F29" s="89" t="s">
        <v>1220</v>
      </c>
      <c r="G29" s="89" t="s">
        <v>1205</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1214</v>
      </c>
      <c r="B30" s="84" t="s">
        <v>1270</v>
      </c>
      <c r="C30" s="86" t="s">
        <v>1271</v>
      </c>
      <c r="D30" s="88" t="s">
        <v>1272</v>
      </c>
      <c r="E30" s="88" t="s">
        <v>1273</v>
      </c>
      <c r="F30" s="89" t="s">
        <v>1220</v>
      </c>
      <c r="G30" s="89" t="s">
        <v>1173</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1274</v>
      </c>
      <c r="B31" s="83">
        <v>4</v>
      </c>
      <c r="C31" s="85" t="s">
        <v>21</v>
      </c>
      <c r="D31" s="87" t="s">
        <v>1275</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1274</v>
      </c>
      <c r="B32" s="84" t="s">
        <v>1276</v>
      </c>
      <c r="C32" s="86" t="s">
        <v>1277</v>
      </c>
      <c r="D32" s="88" t="s">
        <v>1278</v>
      </c>
      <c r="E32" s="88" t="s">
        <v>1279</v>
      </c>
      <c r="F32" s="89" t="s">
        <v>1280</v>
      </c>
      <c r="G32" s="89" t="s">
        <v>1221</v>
      </c>
      <c r="H32" s="89">
        <v>1</v>
      </c>
      <c r="I32" s="91">
        <f>IF(COUNTIF(J32:AW32,"&lt;&gt;")=0,"",SUMPRODUCT(((Recommendations[ImplStatus]="Implemented")+(Recommendations[ImplStatus]="Compensated"))*ISNUMBER(MATCH(Recommendations[Id],J32:AW32,0)))/COUNTIF(J32:AW32,"&lt;&gt;"))</f>
        <v>0</v>
      </c>
      <c r="J32" s="93" t="s">
        <v>835</v>
      </c>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1274</v>
      </c>
      <c r="B33" s="84" t="s">
        <v>1281</v>
      </c>
      <c r="C33" s="86" t="s">
        <v>1282</v>
      </c>
      <c r="D33" s="88" t="s">
        <v>1283</v>
      </c>
      <c r="E33" s="88" t="s">
        <v>1284</v>
      </c>
      <c r="F33" s="89" t="s">
        <v>1280</v>
      </c>
      <c r="G33" s="89" t="s">
        <v>1221</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1274</v>
      </c>
      <c r="B34" s="84" t="s">
        <v>1285</v>
      </c>
      <c r="C34" s="86" t="s">
        <v>1286</v>
      </c>
      <c r="D34" s="88" t="s">
        <v>1287</v>
      </c>
      <c r="E34" s="88" t="s">
        <v>1288</v>
      </c>
      <c r="F34" s="89" t="s">
        <v>1162</v>
      </c>
      <c r="G34" s="89" t="s">
        <v>1205</v>
      </c>
      <c r="H34" s="89">
        <v>1</v>
      </c>
      <c r="I34" s="91">
        <f>IF(COUNTIF(J34:AW34,"&lt;&gt;")=0,"",SUMPRODUCT(((Recommendations[ImplStatus]="Implemented")+(Recommendations[ImplStatus]="Compensated"))*ISNUMBER(MATCH(Recommendations[Id],J34:AW34,0)))/COUNTIF(J34:AW34,"&lt;&gt;"))</f>
        <v>0</v>
      </c>
      <c r="J34" s="93" t="s">
        <v>218</v>
      </c>
      <c r="K34" s="93" t="s">
        <v>223</v>
      </c>
      <c r="L34" s="93" t="s">
        <v>228</v>
      </c>
      <c r="M34" s="93" t="s">
        <v>393</v>
      </c>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1274</v>
      </c>
      <c r="B35" s="84" t="s">
        <v>1289</v>
      </c>
      <c r="C35" s="86" t="s">
        <v>1290</v>
      </c>
      <c r="D35" s="88" t="s">
        <v>1291</v>
      </c>
      <c r="E35" s="88" t="s">
        <v>1292</v>
      </c>
      <c r="F35" s="89" t="s">
        <v>1162</v>
      </c>
      <c r="G35" s="89" t="s">
        <v>1205</v>
      </c>
      <c r="H35" s="89">
        <v>1</v>
      </c>
      <c r="I35" s="91">
        <f>IF(COUNTIF(J35:AW35,"&lt;&gt;")=0,"",SUMPRODUCT(((Recommendations[ImplStatus]="Implemented")+(Recommendations[ImplStatus]="Compensated"))*ISNUMBER(MATCH(Recommendations[Id],J35:AW35,0)))/COUNTIF(J35:AW35,"&lt;&gt;"))</f>
        <v>0</v>
      </c>
      <c r="J35" s="93" t="s">
        <v>283</v>
      </c>
      <c r="K35" s="93" t="s">
        <v>288</v>
      </c>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1274</v>
      </c>
      <c r="B36" s="84" t="s">
        <v>1293</v>
      </c>
      <c r="C36" s="86" t="s">
        <v>1294</v>
      </c>
      <c r="D36" s="88" t="s">
        <v>1295</v>
      </c>
      <c r="E36" s="88" t="s">
        <v>1296</v>
      </c>
      <c r="F36" s="89" t="s">
        <v>1162</v>
      </c>
      <c r="G36" s="89" t="s">
        <v>1205</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1274</v>
      </c>
      <c r="B37" s="84" t="s">
        <v>1297</v>
      </c>
      <c r="C37" s="86" t="s">
        <v>1298</v>
      </c>
      <c r="D37" s="88" t="s">
        <v>1299</v>
      </c>
      <c r="E37" s="88" t="s">
        <v>1300</v>
      </c>
      <c r="F37" s="89" t="s">
        <v>1162</v>
      </c>
      <c r="G37" s="89" t="s">
        <v>1205</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1274</v>
      </c>
      <c r="B38" s="84" t="s">
        <v>1301</v>
      </c>
      <c r="C38" s="86" t="s">
        <v>1302</v>
      </c>
      <c r="D38" s="88" t="s">
        <v>1303</v>
      </c>
      <c r="E38" s="88" t="s">
        <v>1304</v>
      </c>
      <c r="F38" s="89" t="s">
        <v>1305</v>
      </c>
      <c r="G38" s="89" t="s">
        <v>1205</v>
      </c>
      <c r="H38" s="89">
        <v>1</v>
      </c>
      <c r="I38" s="91">
        <f>IF(COUNTIF(J38:AW38,"&lt;&gt;")=0,"",SUMPRODUCT(((Recommendations[ImplStatus]="Implemented")+(Recommendations[ImplStatus]="Compensated"))*ISNUMBER(MATCH(Recommendations[Id],J38:AW38,0)))/COUNTIF(J38:AW38,"&lt;&gt;"))</f>
        <v>0</v>
      </c>
      <c r="J38" s="93" t="s">
        <v>84</v>
      </c>
      <c r="K38" s="93" t="s">
        <v>159</v>
      </c>
      <c r="L38" s="93" t="s">
        <v>208</v>
      </c>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1274</v>
      </c>
      <c r="B39" s="84" t="s">
        <v>1306</v>
      </c>
      <c r="C39" s="86" t="s">
        <v>1307</v>
      </c>
      <c r="D39" s="88" t="s">
        <v>1308</v>
      </c>
      <c r="E39" s="88" t="s">
        <v>1309</v>
      </c>
      <c r="F39" s="89" t="s">
        <v>1162</v>
      </c>
      <c r="G39" s="89" t="s">
        <v>1205</v>
      </c>
      <c r="H39" s="89">
        <v>2</v>
      </c>
      <c r="I39" s="91">
        <f>IF(COUNTIF(J39:AW39,"&lt;&gt;")=0,"",SUMPRODUCT(((Recommendations[ImplStatus]="Implemented")+(Recommendations[ImplStatus]="Compensated"))*ISNUMBER(MATCH(Recommendations[Id],J39:AW39,0)))/COUNTIF(J39:AW39,"&lt;&gt;"))</f>
        <v>0</v>
      </c>
      <c r="J39" s="93" t="s">
        <v>183</v>
      </c>
      <c r="K39" s="93" t="s">
        <v>188</v>
      </c>
      <c r="L39" s="93" t="s">
        <v>193</v>
      </c>
      <c r="M39" s="93" t="s">
        <v>268</v>
      </c>
      <c r="N39" s="93" t="s">
        <v>485</v>
      </c>
      <c r="O39" s="93" t="s">
        <v>679</v>
      </c>
      <c r="P39" s="93" t="s">
        <v>779</v>
      </c>
      <c r="Q39" s="93" t="s">
        <v>784</v>
      </c>
      <c r="R39" s="93" t="s">
        <v>788</v>
      </c>
      <c r="S39" s="93" t="s">
        <v>792</v>
      </c>
      <c r="T39" s="93" t="s">
        <v>796</v>
      </c>
      <c r="U39" s="93" t="s">
        <v>805</v>
      </c>
      <c r="V39" s="93" t="s">
        <v>850</v>
      </c>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1274</v>
      </c>
      <c r="B40" s="84" t="s">
        <v>1310</v>
      </c>
      <c r="C40" s="86" t="s">
        <v>1311</v>
      </c>
      <c r="D40" s="88" t="s">
        <v>1312</v>
      </c>
      <c r="E40" s="88" t="s">
        <v>1313</v>
      </c>
      <c r="F40" s="89" t="s">
        <v>1162</v>
      </c>
      <c r="G40" s="89" t="s">
        <v>1205</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1274</v>
      </c>
      <c r="B41" s="84" t="s">
        <v>1314</v>
      </c>
      <c r="C41" s="86" t="s">
        <v>1315</v>
      </c>
      <c r="D41" s="88" t="s">
        <v>1316</v>
      </c>
      <c r="E41" s="88" t="s">
        <v>1317</v>
      </c>
      <c r="F41" s="89" t="s">
        <v>1162</v>
      </c>
      <c r="G41" s="89" t="s">
        <v>1205</v>
      </c>
      <c r="H41" s="89">
        <v>2</v>
      </c>
      <c r="I41" s="91">
        <f>IF(COUNTIF(J41:AW41,"&lt;&gt;")=0,"",SUMPRODUCT(((Recommendations[ImplStatus]="Implemented")+(Recommendations[ImplStatus]="Compensated"))*ISNUMBER(MATCH(Recommendations[Id],J41:AW41,0)))/COUNTIF(J41:AW41,"&lt;&gt;"))</f>
        <v>0</v>
      </c>
      <c r="J41" s="93" t="s">
        <v>41</v>
      </c>
      <c r="K41" s="93" t="s">
        <v>46</v>
      </c>
      <c r="L41" s="93" t="s">
        <v>565</v>
      </c>
      <c r="M41" s="93" t="s">
        <v>569</v>
      </c>
      <c r="N41" s="93" t="s">
        <v>573</v>
      </c>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1274</v>
      </c>
      <c r="B42" s="84" t="s">
        <v>1318</v>
      </c>
      <c r="C42" s="86" t="s">
        <v>1319</v>
      </c>
      <c r="D42" s="88" t="s">
        <v>1320</v>
      </c>
      <c r="E42" s="88" t="s">
        <v>1321</v>
      </c>
      <c r="F42" s="89" t="s">
        <v>1220</v>
      </c>
      <c r="G42" s="89" t="s">
        <v>1205</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1274</v>
      </c>
      <c r="B43" s="84" t="s">
        <v>1322</v>
      </c>
      <c r="C43" s="86" t="s">
        <v>1323</v>
      </c>
      <c r="D43" s="88" t="s">
        <v>1324</v>
      </c>
      <c r="E43" s="88" t="s">
        <v>1325</v>
      </c>
      <c r="F43" s="89" t="s">
        <v>1220</v>
      </c>
      <c r="G43" s="89" t="s">
        <v>1205</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1326</v>
      </c>
      <c r="B44" s="83">
        <v>5</v>
      </c>
      <c r="C44" s="85" t="s">
        <v>21</v>
      </c>
      <c r="D44" s="87" t="s">
        <v>1327</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1326</v>
      </c>
      <c r="B45" s="84" t="s">
        <v>1328</v>
      </c>
      <c r="C45" s="86" t="s">
        <v>1329</v>
      </c>
      <c r="D45" s="88" t="s">
        <v>1330</v>
      </c>
      <c r="E45" s="88" t="s">
        <v>1331</v>
      </c>
      <c r="F45" s="89" t="s">
        <v>1305</v>
      </c>
      <c r="G45" s="89" t="s">
        <v>1163</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1326</v>
      </c>
      <c r="B46" s="84" t="s">
        <v>1332</v>
      </c>
      <c r="C46" s="86" t="s">
        <v>1333</v>
      </c>
      <c r="D46" s="88" t="s">
        <v>1334</v>
      </c>
      <c r="E46" s="88" t="s">
        <v>1335</v>
      </c>
      <c r="F46" s="89" t="s">
        <v>1305</v>
      </c>
      <c r="G46" s="89" t="s">
        <v>1205</v>
      </c>
      <c r="H46" s="89">
        <v>1</v>
      </c>
      <c r="I46" s="91" t="str">
        <f>IF(COUNTIF(J46:AW46,"&lt;&gt;")=0,"",SUMPRODUCT(((Recommendations[ImplStatus]="Implemented")+(Recommendations[ImplStatus]="Compensated"))*ISNUMBER(MATCH(Recommendations[Id],J46:AW46,0)))/COUNTIF(J46:AW46,"&lt;&gt;"))</f>
        <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1326</v>
      </c>
      <c r="B47" s="84" t="s">
        <v>1336</v>
      </c>
      <c r="C47" s="86" t="s">
        <v>1337</v>
      </c>
      <c r="D47" s="88" t="s">
        <v>1338</v>
      </c>
      <c r="E47" s="88" t="s">
        <v>1339</v>
      </c>
      <c r="F47" s="89" t="s">
        <v>1305</v>
      </c>
      <c r="G47" s="89" t="s">
        <v>1205</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1326</v>
      </c>
      <c r="B48" s="84" t="s">
        <v>1340</v>
      </c>
      <c r="C48" s="86" t="s">
        <v>1341</v>
      </c>
      <c r="D48" s="88" t="s">
        <v>1342</v>
      </c>
      <c r="E48" s="88" t="s">
        <v>1343</v>
      </c>
      <c r="F48" s="89" t="s">
        <v>1305</v>
      </c>
      <c r="G48" s="89" t="s">
        <v>1205</v>
      </c>
      <c r="H48" s="89">
        <v>1</v>
      </c>
      <c r="I48" s="91">
        <f>IF(COUNTIF(J48:AW48,"&lt;&gt;")=0,"",SUMPRODUCT(((Recommendations[ImplStatus]="Implemented")+(Recommendations[ImplStatus]="Compensated"))*ISNUMBER(MATCH(Recommendations[Id],J48:AW48,0)))/COUNTIF(J48:AW48,"&lt;&gt;"))</f>
        <v>0</v>
      </c>
      <c r="J48" s="93" t="s">
        <v>348</v>
      </c>
      <c r="K48" s="93" t="s">
        <v>418</v>
      </c>
      <c r="L48" s="93" t="s">
        <v>495</v>
      </c>
      <c r="M48" s="93" t="s">
        <v>510</v>
      </c>
      <c r="N48" s="93" t="s">
        <v>520</v>
      </c>
      <c r="O48" s="93" t="s">
        <v>525</v>
      </c>
      <c r="P48" s="93" t="s">
        <v>644</v>
      </c>
      <c r="Q48" s="93" t="s">
        <v>649</v>
      </c>
      <c r="R48" s="93" t="s">
        <v>840</v>
      </c>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1326</v>
      </c>
      <c r="B49" s="84" t="s">
        <v>1344</v>
      </c>
      <c r="C49" s="86" t="s">
        <v>1345</v>
      </c>
      <c r="D49" s="88" t="s">
        <v>1346</v>
      </c>
      <c r="E49" s="88" t="s">
        <v>1347</v>
      </c>
      <c r="F49" s="89" t="s">
        <v>1305</v>
      </c>
      <c r="G49" s="89" t="s">
        <v>1163</v>
      </c>
      <c r="H49" s="89">
        <v>2</v>
      </c>
      <c r="I49" s="91">
        <f>IF(COUNTIF(J49:AW49,"&lt;&gt;")=0,"",SUMPRODUCT(((Recommendations[ImplStatus]="Implemented")+(Recommendations[ImplStatus]="Compensated"))*ISNUMBER(MATCH(Recommendations[Id],J49:AW49,0)))/COUNTIF(J49:AW49,"&lt;&gt;"))</f>
        <v>0</v>
      </c>
      <c r="J49" s="93" t="s">
        <v>470</v>
      </c>
      <c r="K49" s="93" t="s">
        <v>530</v>
      </c>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1326</v>
      </c>
      <c r="B50" s="84" t="s">
        <v>1348</v>
      </c>
      <c r="C50" s="86" t="s">
        <v>1349</v>
      </c>
      <c r="D50" s="88" t="s">
        <v>1350</v>
      </c>
      <c r="E50" s="88" t="s">
        <v>1351</v>
      </c>
      <c r="F50" s="89" t="s">
        <v>1305</v>
      </c>
      <c r="G50" s="89" t="s">
        <v>1221</v>
      </c>
      <c r="H50" s="89">
        <v>2</v>
      </c>
      <c r="I50" s="91">
        <f>IF(COUNTIF(J50:AW50,"&lt;&gt;")=0,"",SUMPRODUCT(((Recommendations[ImplStatus]="Implemented")+(Recommendations[ImplStatus]="Compensated"))*ISNUMBER(MATCH(Recommendations[Id],J50:AW50,0)))/COUNTIF(J50:AW50,"&lt;&gt;"))</f>
        <v>0</v>
      </c>
      <c r="J50" s="93" t="s">
        <v>198</v>
      </c>
      <c r="K50" s="93" t="s">
        <v>373</v>
      </c>
      <c r="L50" s="93" t="s">
        <v>413</v>
      </c>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1352</v>
      </c>
      <c r="B51" s="83">
        <v>6</v>
      </c>
      <c r="C51" s="85" t="s">
        <v>21</v>
      </c>
      <c r="D51" s="87" t="s">
        <v>1353</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1352</v>
      </c>
      <c r="B52" s="84" t="s">
        <v>1354</v>
      </c>
      <c r="C52" s="86" t="s">
        <v>1355</v>
      </c>
      <c r="D52" s="88" t="s">
        <v>1356</v>
      </c>
      <c r="E52" s="88" t="s">
        <v>1357</v>
      </c>
      <c r="F52" s="89" t="s">
        <v>1280</v>
      </c>
      <c r="G52" s="89" t="s">
        <v>1221</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1352</v>
      </c>
      <c r="B53" s="84" t="s">
        <v>1358</v>
      </c>
      <c r="C53" s="86" t="s">
        <v>1359</v>
      </c>
      <c r="D53" s="88" t="s">
        <v>1360</v>
      </c>
      <c r="E53" s="88" t="s">
        <v>1361</v>
      </c>
      <c r="F53" s="89" t="s">
        <v>1280</v>
      </c>
      <c r="G53" s="89" t="s">
        <v>1221</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1352</v>
      </c>
      <c r="B54" s="84" t="s">
        <v>1362</v>
      </c>
      <c r="C54" s="86" t="s">
        <v>1363</v>
      </c>
      <c r="D54" s="88" t="s">
        <v>1364</v>
      </c>
      <c r="E54" s="88" t="s">
        <v>1365</v>
      </c>
      <c r="F54" s="89" t="s">
        <v>1305</v>
      </c>
      <c r="G54" s="89" t="s">
        <v>1205</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1352</v>
      </c>
      <c r="B55" s="84" t="s">
        <v>1366</v>
      </c>
      <c r="C55" s="86" t="s">
        <v>1367</v>
      </c>
      <c r="D55" s="88" t="s">
        <v>1368</v>
      </c>
      <c r="E55" s="88" t="s">
        <v>1369</v>
      </c>
      <c r="F55" s="89" t="s">
        <v>1305</v>
      </c>
      <c r="G55" s="89" t="s">
        <v>1205</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1352</v>
      </c>
      <c r="B56" s="84" t="s">
        <v>1370</v>
      </c>
      <c r="C56" s="86" t="s">
        <v>1371</v>
      </c>
      <c r="D56" s="88" t="s">
        <v>1372</v>
      </c>
      <c r="E56" s="88" t="s">
        <v>1373</v>
      </c>
      <c r="F56" s="89" t="s">
        <v>1305</v>
      </c>
      <c r="G56" s="89" t="s">
        <v>1205</v>
      </c>
      <c r="H56" s="89">
        <v>1</v>
      </c>
      <c r="I56" s="91">
        <f>IF(COUNTIF(J56:AW56,"&lt;&gt;")=0,"",SUMPRODUCT(((Recommendations[ImplStatus]="Implemented")+(Recommendations[ImplStatus]="Compensated"))*ISNUMBER(MATCH(Recommendations[Id],J56:AW56,0)))/COUNTIF(J56:AW56,"&lt;&gt;"))</f>
        <v>0</v>
      </c>
      <c r="J56" s="93" t="s">
        <v>213</v>
      </c>
      <c r="K56" s="93" t="s">
        <v>624</v>
      </c>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1352</v>
      </c>
      <c r="B57" s="84" t="s">
        <v>1374</v>
      </c>
      <c r="C57" s="86" t="s">
        <v>1375</v>
      </c>
      <c r="D57" s="88" t="s">
        <v>1376</v>
      </c>
      <c r="E57" s="88" t="s">
        <v>1377</v>
      </c>
      <c r="F57" s="89" t="s">
        <v>1188</v>
      </c>
      <c r="G57" s="89" t="s">
        <v>1163</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1352</v>
      </c>
      <c r="B58" s="84" t="s">
        <v>1378</v>
      </c>
      <c r="C58" s="86" t="s">
        <v>1379</v>
      </c>
      <c r="D58" s="88" t="s">
        <v>1380</v>
      </c>
      <c r="E58" s="88" t="s">
        <v>1381</v>
      </c>
      <c r="F58" s="89" t="s">
        <v>1305</v>
      </c>
      <c r="G58" s="89" t="s">
        <v>1205</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1352</v>
      </c>
      <c r="B59" s="84" t="s">
        <v>1382</v>
      </c>
      <c r="C59" s="86" t="s">
        <v>1383</v>
      </c>
      <c r="D59" s="88" t="s">
        <v>1384</v>
      </c>
      <c r="E59" s="88" t="s">
        <v>1385</v>
      </c>
      <c r="F59" s="89" t="s">
        <v>1305</v>
      </c>
      <c r="G59" s="89" t="s">
        <v>1221</v>
      </c>
      <c r="H59" s="89">
        <v>3</v>
      </c>
      <c r="I59" s="91">
        <f>IF(COUNTIF(J59:AW59,"&lt;&gt;")=0,"",SUMPRODUCT(((Recommendations[ImplStatus]="Implemented")+(Recommendations[ImplStatus]="Compensated"))*ISNUMBER(MATCH(Recommendations[Id],J59:AW59,0)))/COUNTIF(J59:AW59,"&lt;&gt;"))</f>
        <v>0</v>
      </c>
      <c r="J59" s="93" t="s">
        <v>398</v>
      </c>
      <c r="K59" s="93" t="s">
        <v>590</v>
      </c>
      <c r="L59" s="93" t="s">
        <v>613</v>
      </c>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1386</v>
      </c>
      <c r="B60" s="83">
        <v>7</v>
      </c>
      <c r="C60" s="85" t="s">
        <v>21</v>
      </c>
      <c r="D60" s="87" t="s">
        <v>1387</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1386</v>
      </c>
      <c r="B61" s="84" t="s">
        <v>1388</v>
      </c>
      <c r="C61" s="86" t="s">
        <v>1389</v>
      </c>
      <c r="D61" s="88" t="s">
        <v>1390</v>
      </c>
      <c r="E61" s="88" t="s">
        <v>1391</v>
      </c>
      <c r="F61" s="89" t="s">
        <v>1280</v>
      </c>
      <c r="G61" s="89" t="s">
        <v>1221</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1386</v>
      </c>
      <c r="B62" s="84" t="s">
        <v>1392</v>
      </c>
      <c r="C62" s="86" t="s">
        <v>1393</v>
      </c>
      <c r="D62" s="88" t="s">
        <v>1394</v>
      </c>
      <c r="E62" s="88" t="s">
        <v>1395</v>
      </c>
      <c r="F62" s="89" t="s">
        <v>1280</v>
      </c>
      <c r="G62" s="89" t="s">
        <v>1221</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1386</v>
      </c>
      <c r="B63" s="84" t="s">
        <v>1396</v>
      </c>
      <c r="C63" s="86" t="s">
        <v>1397</v>
      </c>
      <c r="D63" s="88" t="s">
        <v>1398</v>
      </c>
      <c r="E63" s="88" t="s">
        <v>1399</v>
      </c>
      <c r="F63" s="89" t="s">
        <v>1188</v>
      </c>
      <c r="G63" s="89" t="s">
        <v>1205</v>
      </c>
      <c r="H63" s="89">
        <v>1</v>
      </c>
      <c r="I63" s="91">
        <f>IF(COUNTIF(J63:AW63,"&lt;&gt;")=0,"",SUMPRODUCT(((Recommendations[ImplStatus]="Implemented")+(Recommendations[ImplStatus]="Compensated"))*ISNUMBER(MATCH(Recommendations[Id],J63:AW63,0)))/COUNTIF(J63:AW63,"&lt;&gt;"))</f>
        <v>0</v>
      </c>
      <c r="J63" s="93" t="s">
        <v>358</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1386</v>
      </c>
      <c r="B64" s="84" t="s">
        <v>1400</v>
      </c>
      <c r="C64" s="86" t="s">
        <v>1401</v>
      </c>
      <c r="D64" s="88" t="s">
        <v>1402</v>
      </c>
      <c r="E64" s="88" t="s">
        <v>1403</v>
      </c>
      <c r="F64" s="89" t="s">
        <v>1188</v>
      </c>
      <c r="G64" s="89" t="s">
        <v>1205</v>
      </c>
      <c r="H64" s="89">
        <v>1</v>
      </c>
      <c r="I64" s="91">
        <f>IF(COUNTIF(J64:AW64,"&lt;&gt;")=0,"",SUMPRODUCT(((Recommendations[ImplStatus]="Implemented")+(Recommendations[ImplStatus]="Compensated"))*ISNUMBER(MATCH(Recommendations[Id],J64:AW64,0)))/COUNTIF(J64:AW64,"&lt;&gt;"))</f>
        <v>0</v>
      </c>
      <c r="J64" s="93" t="s">
        <v>358</v>
      </c>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1386</v>
      </c>
      <c r="B65" s="84" t="s">
        <v>1404</v>
      </c>
      <c r="C65" s="86" t="s">
        <v>1405</v>
      </c>
      <c r="D65" s="88" t="s">
        <v>1406</v>
      </c>
      <c r="E65" s="88" t="s">
        <v>1407</v>
      </c>
      <c r="F65" s="89" t="s">
        <v>1188</v>
      </c>
      <c r="G65" s="89" t="s">
        <v>1163</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1386</v>
      </c>
      <c r="B66" s="84" t="s">
        <v>1408</v>
      </c>
      <c r="C66" s="86" t="s">
        <v>1409</v>
      </c>
      <c r="D66" s="88" t="s">
        <v>1410</v>
      </c>
      <c r="E66" s="88" t="s">
        <v>1411</v>
      </c>
      <c r="F66" s="89" t="s">
        <v>1188</v>
      </c>
      <c r="G66" s="89" t="s">
        <v>1163</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1386</v>
      </c>
      <c r="B67" s="84" t="s">
        <v>1412</v>
      </c>
      <c r="C67" s="86" t="s">
        <v>1413</v>
      </c>
      <c r="D67" s="88" t="s">
        <v>1414</v>
      </c>
      <c r="E67" s="88" t="s">
        <v>1415</v>
      </c>
      <c r="F67" s="89" t="s">
        <v>1188</v>
      </c>
      <c r="G67" s="89" t="s">
        <v>1168</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1416</v>
      </c>
      <c r="B68" s="83">
        <v>8</v>
      </c>
      <c r="C68" s="85" t="s">
        <v>21</v>
      </c>
      <c r="D68" s="87" t="s">
        <v>1417</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1416</v>
      </c>
      <c r="B69" s="84" t="s">
        <v>1418</v>
      </c>
      <c r="C69" s="86" t="s">
        <v>1419</v>
      </c>
      <c r="D69" s="88" t="s">
        <v>1420</v>
      </c>
      <c r="E69" s="88" t="s">
        <v>1421</v>
      </c>
      <c r="F69" s="89" t="s">
        <v>1280</v>
      </c>
      <c r="G69" s="89" t="s">
        <v>1221</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1416</v>
      </c>
      <c r="B70" s="84" t="s">
        <v>1422</v>
      </c>
      <c r="C70" s="86" t="s">
        <v>1423</v>
      </c>
      <c r="D70" s="88" t="s">
        <v>1424</v>
      </c>
      <c r="E70" s="88" t="s">
        <v>1425</v>
      </c>
      <c r="F70" s="89" t="s">
        <v>1220</v>
      </c>
      <c r="G70" s="89" t="s">
        <v>1173</v>
      </c>
      <c r="H70" s="89">
        <v>1</v>
      </c>
      <c r="I70" s="91">
        <f>IF(COUNTIF(J70:AW70,"&lt;&gt;")=0,"",SUMPRODUCT(((Recommendations[ImplStatus]="Implemented")+(Recommendations[ImplStatus]="Compensated"))*ISNUMBER(MATCH(Recommendations[Id],J70:AW70,0)))/COUNTIF(J70:AW70,"&lt;&gt;"))</f>
        <v>0</v>
      </c>
      <c r="J70" s="93" t="s">
        <v>36</v>
      </c>
      <c r="K70" s="93" t="s">
        <v>164</v>
      </c>
      <c r="L70" s="93" t="s">
        <v>238</v>
      </c>
      <c r="M70" s="93" t="s">
        <v>540</v>
      </c>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1416</v>
      </c>
      <c r="B71" s="84" t="s">
        <v>1426</v>
      </c>
      <c r="C71" s="86" t="s">
        <v>1427</v>
      </c>
      <c r="D71" s="88" t="s">
        <v>1428</v>
      </c>
      <c r="E71" s="88" t="s">
        <v>1429</v>
      </c>
      <c r="F71" s="89" t="s">
        <v>1220</v>
      </c>
      <c r="G71" s="89" t="s">
        <v>1205</v>
      </c>
      <c r="H71" s="89">
        <v>1</v>
      </c>
      <c r="I71" s="91">
        <f>IF(COUNTIF(J71:AW71,"&lt;&gt;")=0,"",SUMPRODUCT(((Recommendations[ImplStatus]="Implemented")+(Recommendations[ImplStatus]="Compensated"))*ISNUMBER(MATCH(Recommendations[Id],J71:AW71,0)))/COUNTIF(J71:AW71,"&lt;&gt;"))</f>
        <v>0</v>
      </c>
      <c r="J71" s="93" t="s">
        <v>238</v>
      </c>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1416</v>
      </c>
      <c r="B72" s="84" t="s">
        <v>1430</v>
      </c>
      <c r="C72" s="86" t="s">
        <v>1431</v>
      </c>
      <c r="D72" s="88" t="s">
        <v>1432</v>
      </c>
      <c r="E72" s="88" t="s">
        <v>1433</v>
      </c>
      <c r="F72" s="89" t="s">
        <v>1434</v>
      </c>
      <c r="G72" s="89" t="s">
        <v>1205</v>
      </c>
      <c r="H72" s="89">
        <v>2</v>
      </c>
      <c r="I72" s="91">
        <f>IF(COUNTIF(J72:AW72,"&lt;&gt;")=0,"",SUMPRODUCT(((Recommendations[ImplStatus]="Implemented")+(Recommendations[ImplStatus]="Compensated"))*ISNUMBER(MATCH(Recommendations[Id],J72:AW72,0)))/COUNTIF(J72:AW72,"&lt;&gt;"))</f>
        <v>0</v>
      </c>
      <c r="J72" s="93" t="s">
        <v>243</v>
      </c>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1416</v>
      </c>
      <c r="B73" s="84" t="s">
        <v>1435</v>
      </c>
      <c r="C73" s="86" t="s">
        <v>1436</v>
      </c>
      <c r="D73" s="88" t="s">
        <v>1437</v>
      </c>
      <c r="E73" s="88" t="s">
        <v>1438</v>
      </c>
      <c r="F73" s="89" t="s">
        <v>1220</v>
      </c>
      <c r="G73" s="89" t="s">
        <v>1173</v>
      </c>
      <c r="H73" s="89">
        <v>2</v>
      </c>
      <c r="I73" s="91">
        <f>IF(COUNTIF(J73:AW73,"&lt;&gt;")=0,"",SUMPRODUCT(((Recommendations[ImplStatus]="Implemented")+(Recommendations[ImplStatus]="Compensated"))*ISNUMBER(MATCH(Recommendations[Id],J73:AW73,0)))/COUNTIF(J73:AW73,"&lt;&gt;"))</f>
        <v>0</v>
      </c>
      <c r="J73" s="93" t="s">
        <v>164</v>
      </c>
      <c r="K73" s="93" t="s">
        <v>540</v>
      </c>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1416</v>
      </c>
      <c r="B74" s="84" t="s">
        <v>1439</v>
      </c>
      <c r="C74" s="86" t="s">
        <v>1440</v>
      </c>
      <c r="D74" s="88" t="s">
        <v>1441</v>
      </c>
      <c r="E74" s="88" t="s">
        <v>1442</v>
      </c>
      <c r="F74" s="89" t="s">
        <v>1220</v>
      </c>
      <c r="G74" s="89" t="s">
        <v>1173</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1416</v>
      </c>
      <c r="B75" s="84" t="s">
        <v>1443</v>
      </c>
      <c r="C75" s="86" t="s">
        <v>1444</v>
      </c>
      <c r="D75" s="88" t="s">
        <v>1445</v>
      </c>
      <c r="E75" s="88" t="s">
        <v>1446</v>
      </c>
      <c r="F75" s="89" t="s">
        <v>1220</v>
      </c>
      <c r="G75" s="89" t="s">
        <v>1173</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1416</v>
      </c>
      <c r="B76" s="84" t="s">
        <v>1447</v>
      </c>
      <c r="C76" s="86" t="s">
        <v>1448</v>
      </c>
      <c r="D76" s="88" t="s">
        <v>1449</v>
      </c>
      <c r="E76" s="88" t="s">
        <v>1450</v>
      </c>
      <c r="F76" s="89" t="s">
        <v>1220</v>
      </c>
      <c r="G76" s="89" t="s">
        <v>1173</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1416</v>
      </c>
      <c r="B77" s="84" t="s">
        <v>1451</v>
      </c>
      <c r="C77" s="86" t="s">
        <v>1452</v>
      </c>
      <c r="D77" s="88" t="s">
        <v>1453</v>
      </c>
      <c r="E77" s="88" t="s">
        <v>1454</v>
      </c>
      <c r="F77" s="89" t="s">
        <v>1220</v>
      </c>
      <c r="G77" s="89" t="s">
        <v>1173</v>
      </c>
      <c r="H77" s="89">
        <v>2</v>
      </c>
      <c r="I77" s="91">
        <f>IF(COUNTIF(J77:AW77,"&lt;&gt;")=0,"",SUMPRODUCT(((Recommendations[ImplStatus]="Implemented")+(Recommendations[ImplStatus]="Compensated"))*ISNUMBER(MATCH(Recommendations[Id],J77:AW77,0)))/COUNTIF(J77:AW77,"&lt;&gt;"))</f>
        <v>0</v>
      </c>
      <c r="J77" s="93" t="s">
        <v>36</v>
      </c>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1416</v>
      </c>
      <c r="B78" s="84" t="s">
        <v>1455</v>
      </c>
      <c r="C78" s="86" t="s">
        <v>1456</v>
      </c>
      <c r="D78" s="88" t="s">
        <v>1457</v>
      </c>
      <c r="E78" s="88" t="s">
        <v>1458</v>
      </c>
      <c r="F78" s="89" t="s">
        <v>1220</v>
      </c>
      <c r="G78" s="89" t="s">
        <v>1205</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1416</v>
      </c>
      <c r="B79" s="84" t="s">
        <v>1459</v>
      </c>
      <c r="C79" s="86" t="s">
        <v>1460</v>
      </c>
      <c r="D79" s="88" t="s">
        <v>1461</v>
      </c>
      <c r="E79" s="88" t="s">
        <v>1462</v>
      </c>
      <c r="F79" s="89" t="s">
        <v>1220</v>
      </c>
      <c r="G79" s="89" t="s">
        <v>1173</v>
      </c>
      <c r="H79" s="89">
        <v>2</v>
      </c>
      <c r="I79" s="91">
        <f>IF(COUNTIF(J79:AW79,"&lt;&gt;")=0,"",SUMPRODUCT(((Recommendations[ImplStatus]="Implemented")+(Recommendations[ImplStatus]="Compensated"))*ISNUMBER(MATCH(Recommendations[Id],J79:AW79,0)))/COUNTIF(J79:AW79,"&lt;&gt;"))</f>
        <v>0</v>
      </c>
      <c r="J79" s="93" t="s">
        <v>505</v>
      </c>
      <c r="K79" s="93" t="s">
        <v>577</v>
      </c>
      <c r="L79" s="93" t="s">
        <v>582</v>
      </c>
      <c r="M79" s="93" t="s">
        <v>586</v>
      </c>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1416</v>
      </c>
      <c r="B80" s="84" t="s">
        <v>1463</v>
      </c>
      <c r="C80" s="86" t="s">
        <v>1464</v>
      </c>
      <c r="D80" s="88" t="s">
        <v>1465</v>
      </c>
      <c r="E80" s="88" t="s">
        <v>1466</v>
      </c>
      <c r="F80" s="89" t="s">
        <v>1220</v>
      </c>
      <c r="G80" s="89" t="s">
        <v>1173</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1467</v>
      </c>
      <c r="B81" s="83">
        <v>9</v>
      </c>
      <c r="C81" s="85" t="s">
        <v>21</v>
      </c>
      <c r="D81" s="87" t="s">
        <v>1468</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1467</v>
      </c>
      <c r="B82" s="84" t="s">
        <v>1469</v>
      </c>
      <c r="C82" s="86" t="s">
        <v>1470</v>
      </c>
      <c r="D82" s="88" t="s">
        <v>1471</v>
      </c>
      <c r="E82" s="88" t="s">
        <v>1472</v>
      </c>
      <c r="F82" s="89" t="s">
        <v>1188</v>
      </c>
      <c r="G82" s="89" t="s">
        <v>1205</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1467</v>
      </c>
      <c r="B83" s="84" t="s">
        <v>1473</v>
      </c>
      <c r="C83" s="86" t="s">
        <v>1474</v>
      </c>
      <c r="D83" s="88" t="s">
        <v>1475</v>
      </c>
      <c r="E83" s="88" t="s">
        <v>1476</v>
      </c>
      <c r="F83" s="89" t="s">
        <v>1162</v>
      </c>
      <c r="G83" s="89" t="s">
        <v>1205</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1467</v>
      </c>
      <c r="B84" s="84" t="s">
        <v>1477</v>
      </c>
      <c r="C84" s="86" t="s">
        <v>1478</v>
      </c>
      <c r="D84" s="88" t="s">
        <v>1479</v>
      </c>
      <c r="E84" s="88" t="s">
        <v>1480</v>
      </c>
      <c r="F84" s="89" t="s">
        <v>1434</v>
      </c>
      <c r="G84" s="89" t="s">
        <v>1205</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1467</v>
      </c>
      <c r="B85" s="84" t="s">
        <v>1481</v>
      </c>
      <c r="C85" s="86" t="s">
        <v>1482</v>
      </c>
      <c r="D85" s="88" t="s">
        <v>1483</v>
      </c>
      <c r="E85" s="88" t="s">
        <v>1484</v>
      </c>
      <c r="F85" s="89" t="s">
        <v>1188</v>
      </c>
      <c r="G85" s="89" t="s">
        <v>1205</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1467</v>
      </c>
      <c r="B86" s="84" t="s">
        <v>1485</v>
      </c>
      <c r="C86" s="86" t="s">
        <v>1486</v>
      </c>
      <c r="D86" s="88" t="s">
        <v>1487</v>
      </c>
      <c r="E86" s="88" t="s">
        <v>1488</v>
      </c>
      <c r="F86" s="89" t="s">
        <v>1434</v>
      </c>
      <c r="G86" s="89" t="s">
        <v>1205</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1467</v>
      </c>
      <c r="B87" s="84" t="s">
        <v>1489</v>
      </c>
      <c r="C87" s="86" t="s">
        <v>1490</v>
      </c>
      <c r="D87" s="88" t="s">
        <v>1491</v>
      </c>
      <c r="E87" s="88" t="s">
        <v>1492</v>
      </c>
      <c r="F87" s="89" t="s">
        <v>1434</v>
      </c>
      <c r="G87" s="89" t="s">
        <v>1205</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1467</v>
      </c>
      <c r="B88" s="84" t="s">
        <v>1493</v>
      </c>
      <c r="C88" s="86" t="s">
        <v>1494</v>
      </c>
      <c r="D88" s="88" t="s">
        <v>1495</v>
      </c>
      <c r="E88" s="88" t="s">
        <v>1496</v>
      </c>
      <c r="F88" s="89" t="s">
        <v>1434</v>
      </c>
      <c r="G88" s="89" t="s">
        <v>1205</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1497</v>
      </c>
      <c r="B89" s="83">
        <v>10</v>
      </c>
      <c r="C89" s="85" t="s">
        <v>21</v>
      </c>
      <c r="D89" s="87" t="s">
        <v>1498</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1497</v>
      </c>
      <c r="B90" s="84" t="s">
        <v>1499</v>
      </c>
      <c r="C90" s="86" t="s">
        <v>1500</v>
      </c>
      <c r="D90" s="88" t="s">
        <v>1501</v>
      </c>
      <c r="E90" s="88" t="s">
        <v>1502</v>
      </c>
      <c r="F90" s="89" t="s">
        <v>1162</v>
      </c>
      <c r="G90" s="89" t="s">
        <v>1173</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1497</v>
      </c>
      <c r="B91" s="84" t="s">
        <v>1503</v>
      </c>
      <c r="C91" s="86" t="s">
        <v>1504</v>
      </c>
      <c r="D91" s="88" t="s">
        <v>1505</v>
      </c>
      <c r="E91" s="88" t="s">
        <v>1506</v>
      </c>
      <c r="F91" s="89" t="s">
        <v>1162</v>
      </c>
      <c r="G91" s="89" t="s">
        <v>1205</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1497</v>
      </c>
      <c r="B92" s="84" t="s">
        <v>1507</v>
      </c>
      <c r="C92" s="86" t="s">
        <v>1508</v>
      </c>
      <c r="D92" s="88" t="s">
        <v>1509</v>
      </c>
      <c r="E92" s="88" t="s">
        <v>1510</v>
      </c>
      <c r="F92" s="89" t="s">
        <v>1162</v>
      </c>
      <c r="G92" s="89" t="s">
        <v>1205</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1497</v>
      </c>
      <c r="B93" s="84" t="s">
        <v>1511</v>
      </c>
      <c r="C93" s="86" t="s">
        <v>1512</v>
      </c>
      <c r="D93" s="88" t="s">
        <v>1513</v>
      </c>
      <c r="E93" s="88" t="s">
        <v>1514</v>
      </c>
      <c r="F93" s="89" t="s">
        <v>1162</v>
      </c>
      <c r="G93" s="89" t="s">
        <v>1173</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1497</v>
      </c>
      <c r="B94" s="84" t="s">
        <v>1515</v>
      </c>
      <c r="C94" s="86" t="s">
        <v>1516</v>
      </c>
      <c r="D94" s="88" t="s">
        <v>1517</v>
      </c>
      <c r="E94" s="88" t="s">
        <v>1518</v>
      </c>
      <c r="F94" s="89" t="s">
        <v>1162</v>
      </c>
      <c r="G94" s="89" t="s">
        <v>1205</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1497</v>
      </c>
      <c r="B95" s="84" t="s">
        <v>1519</v>
      </c>
      <c r="C95" s="86" t="s">
        <v>1520</v>
      </c>
      <c r="D95" s="88" t="s">
        <v>1521</v>
      </c>
      <c r="E95" s="88" t="s">
        <v>1522</v>
      </c>
      <c r="F95" s="89" t="s">
        <v>1162</v>
      </c>
      <c r="G95" s="89" t="s">
        <v>1205</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1497</v>
      </c>
      <c r="B96" s="84" t="s">
        <v>1523</v>
      </c>
      <c r="C96" s="86" t="s">
        <v>1524</v>
      </c>
      <c r="D96" s="88" t="s">
        <v>1525</v>
      </c>
      <c r="E96" s="88" t="s">
        <v>1526</v>
      </c>
      <c r="F96" s="89" t="s">
        <v>1162</v>
      </c>
      <c r="G96" s="89" t="s">
        <v>1173</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1527</v>
      </c>
      <c r="B97" s="83">
        <v>11</v>
      </c>
      <c r="C97" s="85" t="s">
        <v>21</v>
      </c>
      <c r="D97" s="87" t="s">
        <v>1528</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1527</v>
      </c>
      <c r="B98" s="84" t="s">
        <v>1529</v>
      </c>
      <c r="C98" s="86" t="s">
        <v>1530</v>
      </c>
      <c r="D98" s="88" t="s">
        <v>1531</v>
      </c>
      <c r="E98" s="88" t="s">
        <v>1532</v>
      </c>
      <c r="F98" s="89" t="s">
        <v>1280</v>
      </c>
      <c r="G98" s="89" t="s">
        <v>1221</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1527</v>
      </c>
      <c r="B99" s="84" t="s">
        <v>1533</v>
      </c>
      <c r="C99" s="86" t="s">
        <v>1534</v>
      </c>
      <c r="D99" s="88" t="s">
        <v>1535</v>
      </c>
      <c r="E99" s="88" t="s">
        <v>1536</v>
      </c>
      <c r="F99" s="89" t="s">
        <v>1220</v>
      </c>
      <c r="G99" s="89" t="s">
        <v>1537</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1527</v>
      </c>
      <c r="B100" s="84" t="s">
        <v>1538</v>
      </c>
      <c r="C100" s="86" t="s">
        <v>1539</v>
      </c>
      <c r="D100" s="88" t="s">
        <v>1540</v>
      </c>
      <c r="E100" s="88" t="s">
        <v>1541</v>
      </c>
      <c r="F100" s="89" t="s">
        <v>1220</v>
      </c>
      <c r="G100" s="89" t="s">
        <v>1205</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1527</v>
      </c>
      <c r="B101" s="84" t="s">
        <v>1542</v>
      </c>
      <c r="C101" s="86" t="s">
        <v>1543</v>
      </c>
      <c r="D101" s="88" t="s">
        <v>1544</v>
      </c>
      <c r="E101" s="88" t="s">
        <v>1545</v>
      </c>
      <c r="F101" s="89" t="s">
        <v>1220</v>
      </c>
      <c r="G101" s="89" t="s">
        <v>1537</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1527</v>
      </c>
      <c r="B102" s="84" t="s">
        <v>1546</v>
      </c>
      <c r="C102" s="86" t="s">
        <v>1547</v>
      </c>
      <c r="D102" s="88" t="s">
        <v>1548</v>
      </c>
      <c r="E102" s="88" t="s">
        <v>1549</v>
      </c>
      <c r="F102" s="89" t="s">
        <v>1220</v>
      </c>
      <c r="G102" s="89" t="s">
        <v>1537</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1550</v>
      </c>
      <c r="B103" s="83">
        <v>12</v>
      </c>
      <c r="C103" s="85" t="s">
        <v>21</v>
      </c>
      <c r="D103" s="87" t="s">
        <v>1551</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1550</v>
      </c>
      <c r="B104" s="84" t="s">
        <v>1552</v>
      </c>
      <c r="C104" s="86" t="s">
        <v>1553</v>
      </c>
      <c r="D104" s="88" t="s">
        <v>1554</v>
      </c>
      <c r="E104" s="88" t="s">
        <v>1555</v>
      </c>
      <c r="F104" s="89" t="s">
        <v>1434</v>
      </c>
      <c r="G104" s="89" t="s">
        <v>1205</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1550</v>
      </c>
      <c r="B105" s="84" t="s">
        <v>1556</v>
      </c>
      <c r="C105" s="86" t="s">
        <v>1557</v>
      </c>
      <c r="D105" s="88" t="s">
        <v>1558</v>
      </c>
      <c r="E105" s="88" t="s">
        <v>1559</v>
      </c>
      <c r="F105" s="89" t="s">
        <v>1434</v>
      </c>
      <c r="G105" s="89" t="s">
        <v>1205</v>
      </c>
      <c r="H105" s="89">
        <v>2</v>
      </c>
      <c r="I105" s="91">
        <f>IF(COUNTIF(J105:AW105,"&lt;&gt;")=0,"",SUMPRODUCT(((Recommendations[ImplStatus]="Implemented")+(Recommendations[ImplStatus]="Compensated"))*ISNUMBER(MATCH(Recommendations[Id],J105:AW105,0)))/COUNTIF(J105:AW105,"&lt;&gt;"))</f>
        <v>0</v>
      </c>
      <c r="J105" s="93" t="s">
        <v>253</v>
      </c>
      <c r="K105" s="93" t="s">
        <v>258</v>
      </c>
      <c r="L105" s="93" t="s">
        <v>263</v>
      </c>
      <c r="M105" s="93" t="s">
        <v>298</v>
      </c>
      <c r="N105" s="93" t="s">
        <v>303</v>
      </c>
      <c r="O105" s="93" t="s">
        <v>308</v>
      </c>
      <c r="P105" s="93" t="s">
        <v>318</v>
      </c>
      <c r="Q105" s="93" t="s">
        <v>323</v>
      </c>
      <c r="R105" s="93" t="s">
        <v>328</v>
      </c>
      <c r="S105" s="93" t="s">
        <v>343</v>
      </c>
      <c r="T105" s="93" t="s">
        <v>428</v>
      </c>
      <c r="U105" s="93" t="s">
        <v>433</v>
      </c>
      <c r="V105" s="93" t="s">
        <v>438</v>
      </c>
      <c r="W105" s="93" t="s">
        <v>453</v>
      </c>
      <c r="X105" s="93" t="s">
        <v>457</v>
      </c>
      <c r="Y105" s="93" t="s">
        <v>461</v>
      </c>
      <c r="Z105" s="93" t="s">
        <v>593</v>
      </c>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1550</v>
      </c>
      <c r="B106" s="84" t="s">
        <v>1560</v>
      </c>
      <c r="C106" s="86" t="s">
        <v>1561</v>
      </c>
      <c r="D106" s="88" t="s">
        <v>1562</v>
      </c>
      <c r="E106" s="88" t="s">
        <v>1563</v>
      </c>
      <c r="F106" s="89" t="s">
        <v>1434</v>
      </c>
      <c r="G106" s="89" t="s">
        <v>1205</v>
      </c>
      <c r="H106" s="89">
        <v>2</v>
      </c>
      <c r="I106" s="91">
        <f>IF(COUNTIF(J106:AW106,"&lt;&gt;")=0,"",SUMPRODUCT(((Recommendations[ImplStatus]="Implemented")+(Recommendations[ImplStatus]="Compensated"))*ISNUMBER(MATCH(Recommendations[Id],J106:AW106,0)))/COUNTIF(J106:AW106,"&lt;&gt;"))</f>
        <v>0</v>
      </c>
      <c r="J106" s="93" t="s">
        <v>515</v>
      </c>
      <c r="K106" s="93" t="s">
        <v>603</v>
      </c>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1550</v>
      </c>
      <c r="B107" s="84" t="s">
        <v>1564</v>
      </c>
      <c r="C107" s="86" t="s">
        <v>1565</v>
      </c>
      <c r="D107" s="88" t="s">
        <v>1566</v>
      </c>
      <c r="E107" s="88" t="s">
        <v>1567</v>
      </c>
      <c r="F107" s="89" t="s">
        <v>1280</v>
      </c>
      <c r="G107" s="89" t="s">
        <v>1221</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1550</v>
      </c>
      <c r="B108" s="84" t="s">
        <v>1568</v>
      </c>
      <c r="C108" s="86" t="s">
        <v>1569</v>
      </c>
      <c r="D108" s="88" t="s">
        <v>1570</v>
      </c>
      <c r="E108" s="88" t="s">
        <v>1571</v>
      </c>
      <c r="F108" s="89" t="s">
        <v>1434</v>
      </c>
      <c r="G108" s="89" t="s">
        <v>1205</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1550</v>
      </c>
      <c r="B109" s="84" t="s">
        <v>1572</v>
      </c>
      <c r="C109" s="86" t="s">
        <v>1573</v>
      </c>
      <c r="D109" s="88" t="s">
        <v>1574</v>
      </c>
      <c r="E109" s="88" t="s">
        <v>1575</v>
      </c>
      <c r="F109" s="89" t="s">
        <v>1434</v>
      </c>
      <c r="G109" s="89" t="s">
        <v>1205</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1550</v>
      </c>
      <c r="B110" s="84" t="s">
        <v>1576</v>
      </c>
      <c r="C110" s="86" t="s">
        <v>1577</v>
      </c>
      <c r="D110" s="88" t="s">
        <v>1578</v>
      </c>
      <c r="E110" s="88" t="s">
        <v>1579</v>
      </c>
      <c r="F110" s="89" t="s">
        <v>1162</v>
      </c>
      <c r="G110" s="89" t="s">
        <v>1205</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1550</v>
      </c>
      <c r="B111" s="84" t="s">
        <v>1580</v>
      </c>
      <c r="C111" s="86" t="s">
        <v>1581</v>
      </c>
      <c r="D111" s="88" t="s">
        <v>1582</v>
      </c>
      <c r="E111" s="88" t="s">
        <v>1583</v>
      </c>
      <c r="F111" s="89" t="s">
        <v>1162</v>
      </c>
      <c r="G111" s="89" t="s">
        <v>1205</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1584</v>
      </c>
      <c r="B112" s="83">
        <v>13</v>
      </c>
      <c r="C112" s="85" t="s">
        <v>21</v>
      </c>
      <c r="D112" s="87" t="s">
        <v>1585</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1584</v>
      </c>
      <c r="B113" s="84" t="s">
        <v>1586</v>
      </c>
      <c r="C113" s="86" t="s">
        <v>1587</v>
      </c>
      <c r="D113" s="88" t="s">
        <v>1588</v>
      </c>
      <c r="E113" s="88" t="s">
        <v>1589</v>
      </c>
      <c r="F113" s="89" t="s">
        <v>1434</v>
      </c>
      <c r="G113" s="89" t="s">
        <v>1173</v>
      </c>
      <c r="H113" s="89">
        <v>2</v>
      </c>
      <c r="I113" s="91">
        <f>IF(COUNTIF(J113:AW113,"&lt;&gt;")=0,"",SUMPRODUCT(((Recommendations[ImplStatus]="Implemented")+(Recommendations[ImplStatus]="Compensated"))*ISNUMBER(MATCH(Recommendations[Id],J113:AW113,0)))/COUNTIF(J113:AW113,"&lt;&gt;"))</f>
        <v>0</v>
      </c>
      <c r="J113" s="93" t="s">
        <v>408</v>
      </c>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1584</v>
      </c>
      <c r="B114" s="84" t="s">
        <v>1590</v>
      </c>
      <c r="C114" s="86" t="s">
        <v>1591</v>
      </c>
      <c r="D114" s="88" t="s">
        <v>1592</v>
      </c>
      <c r="E114" s="88" t="s">
        <v>1593</v>
      </c>
      <c r="F114" s="89" t="s">
        <v>1162</v>
      </c>
      <c r="G114" s="89" t="s">
        <v>1173</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1584</v>
      </c>
      <c r="B115" s="84" t="s">
        <v>1594</v>
      </c>
      <c r="C115" s="86" t="s">
        <v>1595</v>
      </c>
      <c r="D115" s="88" t="s">
        <v>1596</v>
      </c>
      <c r="E115" s="88" t="s">
        <v>1597</v>
      </c>
      <c r="F115" s="89" t="s">
        <v>1434</v>
      </c>
      <c r="G115" s="89" t="s">
        <v>1173</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1584</v>
      </c>
      <c r="B116" s="84" t="s">
        <v>1598</v>
      </c>
      <c r="C116" s="86" t="s">
        <v>1599</v>
      </c>
      <c r="D116" s="88" t="s">
        <v>1600</v>
      </c>
      <c r="E116" s="88" t="s">
        <v>1601</v>
      </c>
      <c r="F116" s="89" t="s">
        <v>1434</v>
      </c>
      <c r="G116" s="89" t="s">
        <v>1205</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1584</v>
      </c>
      <c r="B117" s="84" t="s">
        <v>1602</v>
      </c>
      <c r="C117" s="86" t="s">
        <v>1603</v>
      </c>
      <c r="D117" s="88" t="s">
        <v>1604</v>
      </c>
      <c r="E117" s="88" t="s">
        <v>1605</v>
      </c>
      <c r="F117" s="89" t="s">
        <v>1162</v>
      </c>
      <c r="G117" s="89" t="s">
        <v>1205</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1584</v>
      </c>
      <c r="B118" s="84" t="s">
        <v>1606</v>
      </c>
      <c r="C118" s="86" t="s">
        <v>1607</v>
      </c>
      <c r="D118" s="88" t="s">
        <v>1608</v>
      </c>
      <c r="E118" s="88" t="s">
        <v>1609</v>
      </c>
      <c r="F118" s="89" t="s">
        <v>1434</v>
      </c>
      <c r="G118" s="89" t="s">
        <v>1173</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1584</v>
      </c>
      <c r="B119" s="84" t="s">
        <v>1610</v>
      </c>
      <c r="C119" s="86" t="s">
        <v>1611</v>
      </c>
      <c r="D119" s="88" t="s">
        <v>1612</v>
      </c>
      <c r="E119" s="88" t="s">
        <v>1613</v>
      </c>
      <c r="F119" s="89" t="s">
        <v>1162</v>
      </c>
      <c r="G119" s="89" t="s">
        <v>1205</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1584</v>
      </c>
      <c r="B120" s="84" t="s">
        <v>1614</v>
      </c>
      <c r="C120" s="86" t="s">
        <v>1615</v>
      </c>
      <c r="D120" s="88" t="s">
        <v>1616</v>
      </c>
      <c r="E120" s="88" t="s">
        <v>1617</v>
      </c>
      <c r="F120" s="89" t="s">
        <v>1434</v>
      </c>
      <c r="G120" s="89" t="s">
        <v>1205</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1584</v>
      </c>
      <c r="B121" s="84" t="s">
        <v>1618</v>
      </c>
      <c r="C121" s="86" t="s">
        <v>1619</v>
      </c>
      <c r="D121" s="88" t="s">
        <v>1620</v>
      </c>
      <c r="E121" s="88" t="s">
        <v>1621</v>
      </c>
      <c r="F121" s="89" t="s">
        <v>1434</v>
      </c>
      <c r="G121" s="89" t="s">
        <v>1205</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1584</v>
      </c>
      <c r="B122" s="84" t="s">
        <v>1622</v>
      </c>
      <c r="C122" s="86" t="s">
        <v>1623</v>
      </c>
      <c r="D122" s="88" t="s">
        <v>1624</v>
      </c>
      <c r="E122" s="88" t="s">
        <v>1625</v>
      </c>
      <c r="F122" s="89" t="s">
        <v>1434</v>
      </c>
      <c r="G122" s="89" t="s">
        <v>1205</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1584</v>
      </c>
      <c r="B123" s="84" t="s">
        <v>1626</v>
      </c>
      <c r="C123" s="86" t="s">
        <v>1627</v>
      </c>
      <c r="D123" s="88" t="s">
        <v>1628</v>
      </c>
      <c r="E123" s="88" t="s">
        <v>1629</v>
      </c>
      <c r="F123" s="89" t="s">
        <v>1434</v>
      </c>
      <c r="G123" s="89" t="s">
        <v>1173</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1630</v>
      </c>
      <c r="B124" s="83">
        <v>14</v>
      </c>
      <c r="C124" s="85" t="s">
        <v>21</v>
      </c>
      <c r="D124" s="87" t="s">
        <v>1631</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1630</v>
      </c>
      <c r="B125" s="84" t="s">
        <v>1632</v>
      </c>
      <c r="C125" s="86" t="s">
        <v>1633</v>
      </c>
      <c r="D125" s="88" t="s">
        <v>1634</v>
      </c>
      <c r="E125" s="88" t="s">
        <v>1635</v>
      </c>
      <c r="F125" s="89" t="s">
        <v>1280</v>
      </c>
      <c r="G125" s="89" t="s">
        <v>1221</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1630</v>
      </c>
      <c r="B126" s="84" t="s">
        <v>1636</v>
      </c>
      <c r="C126" s="86" t="s">
        <v>1637</v>
      </c>
      <c r="D126" s="88" t="s">
        <v>1638</v>
      </c>
      <c r="E126" s="88" t="s">
        <v>1639</v>
      </c>
      <c r="F126" s="89" t="s">
        <v>1305</v>
      </c>
      <c r="G126" s="89" t="s">
        <v>1205</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1630</v>
      </c>
      <c r="B127" s="84" t="s">
        <v>1640</v>
      </c>
      <c r="C127" s="86" t="s">
        <v>1641</v>
      </c>
      <c r="D127" s="88" t="s">
        <v>1642</v>
      </c>
      <c r="E127" s="88" t="s">
        <v>1643</v>
      </c>
      <c r="F127" s="89" t="s">
        <v>1305</v>
      </c>
      <c r="G127" s="89" t="s">
        <v>1205</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1630</v>
      </c>
      <c r="B128" s="84" t="s">
        <v>1644</v>
      </c>
      <c r="C128" s="86" t="s">
        <v>1645</v>
      </c>
      <c r="D128" s="88" t="s">
        <v>1646</v>
      </c>
      <c r="E128" s="88" t="s">
        <v>1647</v>
      </c>
      <c r="F128" s="89" t="s">
        <v>1305</v>
      </c>
      <c r="G128" s="89" t="s">
        <v>1205</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1630</v>
      </c>
      <c r="B129" s="84" t="s">
        <v>1648</v>
      </c>
      <c r="C129" s="86" t="s">
        <v>1649</v>
      </c>
      <c r="D129" s="88" t="s">
        <v>1650</v>
      </c>
      <c r="E129" s="88" t="s">
        <v>1651</v>
      </c>
      <c r="F129" s="89" t="s">
        <v>1305</v>
      </c>
      <c r="G129" s="89" t="s">
        <v>1205</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1630</v>
      </c>
      <c r="B130" s="84" t="s">
        <v>1652</v>
      </c>
      <c r="C130" s="86" t="s">
        <v>1653</v>
      </c>
      <c r="D130" s="88" t="s">
        <v>1654</v>
      </c>
      <c r="E130" s="88" t="s">
        <v>1655</v>
      </c>
      <c r="F130" s="89" t="s">
        <v>1305</v>
      </c>
      <c r="G130" s="89" t="s">
        <v>1205</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1630</v>
      </c>
      <c r="B131" s="84" t="s">
        <v>1656</v>
      </c>
      <c r="C131" s="86" t="s">
        <v>1657</v>
      </c>
      <c r="D131" s="88" t="s">
        <v>1658</v>
      </c>
      <c r="E131" s="88" t="s">
        <v>1659</v>
      </c>
      <c r="F131" s="89" t="s">
        <v>1305</v>
      </c>
      <c r="G131" s="89" t="s">
        <v>1205</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1630</v>
      </c>
      <c r="B132" s="84" t="s">
        <v>1660</v>
      </c>
      <c r="C132" s="86" t="s">
        <v>1661</v>
      </c>
      <c r="D132" s="88" t="s">
        <v>1662</v>
      </c>
      <c r="E132" s="88" t="s">
        <v>1663</v>
      </c>
      <c r="F132" s="89" t="s">
        <v>1305</v>
      </c>
      <c r="G132" s="89" t="s">
        <v>1205</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1630</v>
      </c>
      <c r="B133" s="84" t="s">
        <v>1664</v>
      </c>
      <c r="C133" s="86" t="s">
        <v>1665</v>
      </c>
      <c r="D133" s="88" t="s">
        <v>1666</v>
      </c>
      <c r="E133" s="88" t="s">
        <v>1667</v>
      </c>
      <c r="F133" s="89" t="s">
        <v>1305</v>
      </c>
      <c r="G133" s="89" t="s">
        <v>1205</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1668</v>
      </c>
      <c r="B134" s="83">
        <v>15</v>
      </c>
      <c r="C134" s="85" t="s">
        <v>21</v>
      </c>
      <c r="D134" s="87" t="s">
        <v>1669</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1668</v>
      </c>
      <c r="B135" s="84" t="s">
        <v>1670</v>
      </c>
      <c r="C135" s="86" t="s">
        <v>1671</v>
      </c>
      <c r="D135" s="88" t="s">
        <v>1672</v>
      </c>
      <c r="E135" s="88" t="s">
        <v>1673</v>
      </c>
      <c r="F135" s="89" t="s">
        <v>1305</v>
      </c>
      <c r="G135" s="89" t="s">
        <v>1163</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1668</v>
      </c>
      <c r="B136" s="84" t="s">
        <v>1674</v>
      </c>
      <c r="C136" s="86" t="s">
        <v>1675</v>
      </c>
      <c r="D136" s="88" t="s">
        <v>1676</v>
      </c>
      <c r="E136" s="88" t="s">
        <v>1677</v>
      </c>
      <c r="F136" s="89" t="s">
        <v>1280</v>
      </c>
      <c r="G136" s="89" t="s">
        <v>1221</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1668</v>
      </c>
      <c r="B137" s="84" t="s">
        <v>1678</v>
      </c>
      <c r="C137" s="86" t="s">
        <v>1679</v>
      </c>
      <c r="D137" s="88" t="s">
        <v>1680</v>
      </c>
      <c r="E137" s="88" t="s">
        <v>1681</v>
      </c>
      <c r="F137" s="89" t="s">
        <v>1305</v>
      </c>
      <c r="G137" s="89" t="s">
        <v>1221</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1668</v>
      </c>
      <c r="B138" s="84" t="s">
        <v>1682</v>
      </c>
      <c r="C138" s="86" t="s">
        <v>1683</v>
      </c>
      <c r="D138" s="88" t="s">
        <v>1684</v>
      </c>
      <c r="E138" s="88" t="s">
        <v>1685</v>
      </c>
      <c r="F138" s="89" t="s">
        <v>1280</v>
      </c>
      <c r="G138" s="89" t="s">
        <v>1221</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1668</v>
      </c>
      <c r="B139" s="84" t="s">
        <v>1686</v>
      </c>
      <c r="C139" s="86" t="s">
        <v>1687</v>
      </c>
      <c r="D139" s="88" t="s">
        <v>1688</v>
      </c>
      <c r="E139" s="88" t="s">
        <v>1689</v>
      </c>
      <c r="F139" s="89" t="s">
        <v>1305</v>
      </c>
      <c r="G139" s="89" t="s">
        <v>1221</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1668</v>
      </c>
      <c r="B140" s="84" t="s">
        <v>1690</v>
      </c>
      <c r="C140" s="86" t="s">
        <v>1691</v>
      </c>
      <c r="D140" s="88" t="s">
        <v>1692</v>
      </c>
      <c r="E140" s="88" t="s">
        <v>1693</v>
      </c>
      <c r="F140" s="89" t="s">
        <v>1220</v>
      </c>
      <c r="G140" s="89" t="s">
        <v>1221</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1668</v>
      </c>
      <c r="B141" s="84" t="s">
        <v>1694</v>
      </c>
      <c r="C141" s="86" t="s">
        <v>1695</v>
      </c>
      <c r="D141" s="88" t="s">
        <v>1696</v>
      </c>
      <c r="E141" s="88" t="s">
        <v>1697</v>
      </c>
      <c r="F141" s="89" t="s">
        <v>1220</v>
      </c>
      <c r="G141" s="89" t="s">
        <v>1205</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1698</v>
      </c>
      <c r="B142" s="83">
        <v>16</v>
      </c>
      <c r="C142" s="85" t="s">
        <v>21</v>
      </c>
      <c r="D142" s="87" t="s">
        <v>1699</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1698</v>
      </c>
      <c r="B143" s="84" t="s">
        <v>1700</v>
      </c>
      <c r="C143" s="86" t="s">
        <v>1701</v>
      </c>
      <c r="D143" s="88" t="s">
        <v>1702</v>
      </c>
      <c r="E143" s="88" t="s">
        <v>1703</v>
      </c>
      <c r="F143" s="89" t="s">
        <v>1280</v>
      </c>
      <c r="G143" s="89" t="s">
        <v>1221</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1698</v>
      </c>
      <c r="B144" s="84" t="s">
        <v>1704</v>
      </c>
      <c r="C144" s="86" t="s">
        <v>1705</v>
      </c>
      <c r="D144" s="88" t="s">
        <v>1706</v>
      </c>
      <c r="E144" s="88" t="s">
        <v>1707</v>
      </c>
      <c r="F144" s="89" t="s">
        <v>1280</v>
      </c>
      <c r="G144" s="89" t="s">
        <v>1221</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1698</v>
      </c>
      <c r="B145" s="84" t="s">
        <v>1708</v>
      </c>
      <c r="C145" s="86" t="s">
        <v>1709</v>
      </c>
      <c r="D145" s="88" t="s">
        <v>1710</v>
      </c>
      <c r="E145" s="88" t="s">
        <v>1711</v>
      </c>
      <c r="F145" s="89" t="s">
        <v>1188</v>
      </c>
      <c r="G145" s="89" t="s">
        <v>1173</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1698</v>
      </c>
      <c r="B146" s="84" t="s">
        <v>1712</v>
      </c>
      <c r="C146" s="86" t="s">
        <v>1713</v>
      </c>
      <c r="D146" s="88" t="s">
        <v>1714</v>
      </c>
      <c r="E146" s="88" t="s">
        <v>1715</v>
      </c>
      <c r="F146" s="89" t="s">
        <v>1188</v>
      </c>
      <c r="G146" s="89" t="s">
        <v>1163</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1698</v>
      </c>
      <c r="B147" s="84" t="s">
        <v>1716</v>
      </c>
      <c r="C147" s="86" t="s">
        <v>1717</v>
      </c>
      <c r="D147" s="88" t="s">
        <v>1718</v>
      </c>
      <c r="E147" s="88" t="s">
        <v>1719</v>
      </c>
      <c r="F147" s="89" t="s">
        <v>1188</v>
      </c>
      <c r="G147" s="89" t="s">
        <v>1205</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1698</v>
      </c>
      <c r="B148" s="84" t="s">
        <v>1720</v>
      </c>
      <c r="C148" s="86" t="s">
        <v>1721</v>
      </c>
      <c r="D148" s="88" t="s">
        <v>1722</v>
      </c>
      <c r="E148" s="88" t="s">
        <v>1723</v>
      </c>
      <c r="F148" s="89" t="s">
        <v>1280</v>
      </c>
      <c r="G148" s="89" t="s">
        <v>1221</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1698</v>
      </c>
      <c r="B149" s="84" t="s">
        <v>1724</v>
      </c>
      <c r="C149" s="86" t="s">
        <v>1725</v>
      </c>
      <c r="D149" s="88" t="s">
        <v>1726</v>
      </c>
      <c r="E149" s="88" t="s">
        <v>1727</v>
      </c>
      <c r="F149" s="89" t="s">
        <v>1188</v>
      </c>
      <c r="G149" s="89" t="s">
        <v>1205</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1698</v>
      </c>
      <c r="B150" s="84" t="s">
        <v>1728</v>
      </c>
      <c r="C150" s="86" t="s">
        <v>1729</v>
      </c>
      <c r="D150" s="88" t="s">
        <v>1730</v>
      </c>
      <c r="E150" s="88" t="s">
        <v>1731</v>
      </c>
      <c r="F150" s="89" t="s">
        <v>1434</v>
      </c>
      <c r="G150" s="89" t="s">
        <v>1205</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1698</v>
      </c>
      <c r="B151" s="84" t="s">
        <v>1732</v>
      </c>
      <c r="C151" s="86" t="s">
        <v>1733</v>
      </c>
      <c r="D151" s="88" t="s">
        <v>1734</v>
      </c>
      <c r="E151" s="88" t="s">
        <v>1735</v>
      </c>
      <c r="F151" s="89" t="s">
        <v>1305</v>
      </c>
      <c r="G151" s="89" t="s">
        <v>1205</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1698</v>
      </c>
      <c r="B152" s="84" t="s">
        <v>1736</v>
      </c>
      <c r="C152" s="86" t="s">
        <v>1737</v>
      </c>
      <c r="D152" s="88" t="s">
        <v>1738</v>
      </c>
      <c r="E152" s="88" t="s">
        <v>1739</v>
      </c>
      <c r="F152" s="89" t="s">
        <v>1188</v>
      </c>
      <c r="G152" s="89" t="s">
        <v>1205</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1698</v>
      </c>
      <c r="B153" s="84" t="s">
        <v>1740</v>
      </c>
      <c r="C153" s="86" t="s">
        <v>1741</v>
      </c>
      <c r="D153" s="88" t="s">
        <v>1742</v>
      </c>
      <c r="E153" s="88" t="s">
        <v>1743</v>
      </c>
      <c r="F153" s="89" t="s">
        <v>1188</v>
      </c>
      <c r="G153" s="89" t="s">
        <v>1205</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1698</v>
      </c>
      <c r="B154" s="84" t="s">
        <v>1744</v>
      </c>
      <c r="C154" s="86" t="s">
        <v>1745</v>
      </c>
      <c r="D154" s="88" t="s">
        <v>1746</v>
      </c>
      <c r="E154" s="88" t="s">
        <v>1747</v>
      </c>
      <c r="F154" s="89" t="s">
        <v>1188</v>
      </c>
      <c r="G154" s="89" t="s">
        <v>1205</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1698</v>
      </c>
      <c r="B155" s="84" t="s">
        <v>1748</v>
      </c>
      <c r="C155" s="86" t="s">
        <v>1749</v>
      </c>
      <c r="D155" s="88" t="s">
        <v>1750</v>
      </c>
      <c r="E155" s="88" t="s">
        <v>1751</v>
      </c>
      <c r="F155" s="89" t="s">
        <v>1188</v>
      </c>
      <c r="G155" s="89" t="s">
        <v>1173</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1698</v>
      </c>
      <c r="B156" s="84" t="s">
        <v>1752</v>
      </c>
      <c r="C156" s="86" t="s">
        <v>1753</v>
      </c>
      <c r="D156" s="88" t="s">
        <v>1754</v>
      </c>
      <c r="E156" s="88" t="s">
        <v>1755</v>
      </c>
      <c r="F156" s="89" t="s">
        <v>1188</v>
      </c>
      <c r="G156" s="89" t="s">
        <v>1205</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1756</v>
      </c>
      <c r="B157" s="83">
        <v>17</v>
      </c>
      <c r="C157" s="85" t="s">
        <v>21</v>
      </c>
      <c r="D157" s="87" t="s">
        <v>1757</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1756</v>
      </c>
      <c r="B158" s="84" t="s">
        <v>1758</v>
      </c>
      <c r="C158" s="86" t="s">
        <v>1759</v>
      </c>
      <c r="D158" s="88" t="s">
        <v>1760</v>
      </c>
      <c r="E158" s="88" t="s">
        <v>1761</v>
      </c>
      <c r="F158" s="89" t="s">
        <v>1305</v>
      </c>
      <c r="G158" s="89" t="s">
        <v>1168</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1756</v>
      </c>
      <c r="B159" s="84" t="s">
        <v>1762</v>
      </c>
      <c r="C159" s="86" t="s">
        <v>1763</v>
      </c>
      <c r="D159" s="88" t="s">
        <v>1764</v>
      </c>
      <c r="E159" s="88" t="s">
        <v>1765</v>
      </c>
      <c r="F159" s="89" t="s">
        <v>1280</v>
      </c>
      <c r="G159" s="89" t="s">
        <v>1221</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1756</v>
      </c>
      <c r="B160" s="84" t="s">
        <v>1766</v>
      </c>
      <c r="C160" s="86" t="s">
        <v>1767</v>
      </c>
      <c r="D160" s="88" t="s">
        <v>1768</v>
      </c>
      <c r="E160" s="88" t="s">
        <v>1769</v>
      </c>
      <c r="F160" s="89" t="s">
        <v>1280</v>
      </c>
      <c r="G160" s="89" t="s">
        <v>1221</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1756</v>
      </c>
      <c r="B161" s="84" t="s">
        <v>1770</v>
      </c>
      <c r="C161" s="86" t="s">
        <v>1771</v>
      </c>
      <c r="D161" s="88" t="s">
        <v>1772</v>
      </c>
      <c r="E161" s="88" t="s">
        <v>1773</v>
      </c>
      <c r="F161" s="89" t="s">
        <v>1280</v>
      </c>
      <c r="G161" s="89" t="s">
        <v>1221</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1756</v>
      </c>
      <c r="B162" s="84" t="s">
        <v>1774</v>
      </c>
      <c r="C162" s="86" t="s">
        <v>1775</v>
      </c>
      <c r="D162" s="88" t="s">
        <v>1776</v>
      </c>
      <c r="E162" s="88" t="s">
        <v>1777</v>
      </c>
      <c r="F162" s="89" t="s">
        <v>1305</v>
      </c>
      <c r="G162" s="89" t="s">
        <v>1168</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1756</v>
      </c>
      <c r="B163" s="84" t="s">
        <v>1778</v>
      </c>
      <c r="C163" s="86" t="s">
        <v>1779</v>
      </c>
      <c r="D163" s="88" t="s">
        <v>1780</v>
      </c>
      <c r="E163" s="88" t="s">
        <v>1781</v>
      </c>
      <c r="F163" s="89" t="s">
        <v>1305</v>
      </c>
      <c r="G163" s="89" t="s">
        <v>1168</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1756</v>
      </c>
      <c r="B164" s="84" t="s">
        <v>1782</v>
      </c>
      <c r="C164" s="86" t="s">
        <v>1783</v>
      </c>
      <c r="D164" s="88" t="s">
        <v>1784</v>
      </c>
      <c r="E164" s="88" t="s">
        <v>1785</v>
      </c>
      <c r="F164" s="89" t="s">
        <v>1305</v>
      </c>
      <c r="G164" s="89" t="s">
        <v>1537</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1756</v>
      </c>
      <c r="B165" s="84" t="s">
        <v>1786</v>
      </c>
      <c r="C165" s="86" t="s">
        <v>1787</v>
      </c>
      <c r="D165" s="88" t="s">
        <v>1788</v>
      </c>
      <c r="E165" s="88" t="s">
        <v>1789</v>
      </c>
      <c r="F165" s="89" t="s">
        <v>1305</v>
      </c>
      <c r="G165" s="89" t="s">
        <v>1537</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1756</v>
      </c>
      <c r="B166" s="84" t="s">
        <v>1790</v>
      </c>
      <c r="C166" s="86" t="s">
        <v>1791</v>
      </c>
      <c r="D166" s="88" t="s">
        <v>1792</v>
      </c>
      <c r="E166" s="88" t="s">
        <v>1793</v>
      </c>
      <c r="F166" s="89" t="s">
        <v>1280</v>
      </c>
      <c r="G166" s="89" t="s">
        <v>1537</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1794</v>
      </c>
      <c r="B167" s="83">
        <v>18</v>
      </c>
      <c r="C167" s="85" t="s">
        <v>21</v>
      </c>
      <c r="D167" s="87" t="s">
        <v>1795</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1794</v>
      </c>
      <c r="B168" s="84" t="s">
        <v>1796</v>
      </c>
      <c r="C168" s="86" t="s">
        <v>1797</v>
      </c>
      <c r="D168" s="88" t="s">
        <v>1798</v>
      </c>
      <c r="E168" s="88" t="s">
        <v>1799</v>
      </c>
      <c r="F168" s="89" t="s">
        <v>1280</v>
      </c>
      <c r="G168" s="89" t="s">
        <v>1221</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1794</v>
      </c>
      <c r="B169" s="84" t="s">
        <v>1800</v>
      </c>
      <c r="C169" s="86" t="s">
        <v>1801</v>
      </c>
      <c r="D169" s="88" t="s">
        <v>1802</v>
      </c>
      <c r="E169" s="88" t="s">
        <v>1803</v>
      </c>
      <c r="F169" s="89" t="s">
        <v>1434</v>
      </c>
      <c r="G169" s="89" t="s">
        <v>1173</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1794</v>
      </c>
      <c r="B170" s="84" t="s">
        <v>1804</v>
      </c>
      <c r="C170" s="86" t="s">
        <v>1805</v>
      </c>
      <c r="D170" s="88" t="s">
        <v>1806</v>
      </c>
      <c r="E170" s="88" t="s">
        <v>1807</v>
      </c>
      <c r="F170" s="89" t="s">
        <v>1434</v>
      </c>
      <c r="G170" s="89" t="s">
        <v>1205</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1794</v>
      </c>
      <c r="B171" s="84" t="s">
        <v>1808</v>
      </c>
      <c r="C171" s="86" t="s">
        <v>1809</v>
      </c>
      <c r="D171" s="88" t="s">
        <v>1810</v>
      </c>
      <c r="E171" s="88" t="s">
        <v>1811</v>
      </c>
      <c r="F171" s="89" t="s">
        <v>1434</v>
      </c>
      <c r="G171" s="89" t="s">
        <v>1205</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1794</v>
      </c>
      <c r="B172" s="94" t="s">
        <v>1812</v>
      </c>
      <c r="C172" s="95" t="s">
        <v>1813</v>
      </c>
      <c r="D172" s="96" t="s">
        <v>1814</v>
      </c>
      <c r="E172" s="96" t="s">
        <v>1815</v>
      </c>
      <c r="F172" s="97" t="s">
        <v>1434</v>
      </c>
      <c r="G172" s="97" t="s">
        <v>1173</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865</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IFERROR(INDEX('Recommendations'!$H$2:$H$178, MATCH(J2,'Recommendations'!$A$2:$A$178,0))="Implemented", FALSE))</xm:f>
            <x14:dxf>
              <font>
                <color rgb="FF000000"/>
              </font>
              <fill>
                <patternFill>
                  <bgColor rgb="FF3C7D22"/>
                </patternFill>
              </fill>
            </x14:dxf>
          </x14:cfRule>
          <x14:cfRule type="expression" priority="2" id="{00000000-000E-0000-0400-000002000000}">
            <xm:f>AND(J2&lt;&gt;"", IFERROR(INDEX('Recommendations'!$H$2:$H$178, MATCH(J2,'Recommendations'!$A$2:$A$178,0))="Compensated", FALSE))</xm:f>
            <x14:dxf>
              <font>
                <color rgb="FF000000"/>
              </font>
              <fill>
                <patternFill>
                  <bgColor rgb="FFC6E0B4"/>
                </patternFill>
              </fill>
            </x14:dxf>
          </x14:cfRule>
          <x14:cfRule type="expression" priority="3" id="{00000000-000E-0000-0400-000003000000}">
            <xm:f>AND(J2&lt;&gt;"", IFERROR(INDEX('Recommendations'!$H$2:$H$178, MATCH(J2,'Recommendations'!$A$2:$A$178,0))="Testing", FALSE))</xm:f>
            <x14:dxf>
              <font>
                <color rgb="FF000000"/>
              </font>
              <fill>
                <patternFill>
                  <bgColor rgb="FFFFC000"/>
                </patternFill>
              </fill>
            </x14:dxf>
          </x14:cfRule>
          <x14:cfRule type="expression" priority="4" id="{00000000-000E-0000-0400-000004000000}">
            <xm:f>AND(J2&lt;&gt;"", IFERROR(INDEX('Recommendations'!$H$2:$H$178, MATCH(J2,'Recommendations'!$A$2:$A$178,0))="Failed", FALSE))</xm:f>
            <x14:dxf>
              <font>
                <color rgb="FF000000"/>
              </font>
              <fill>
                <patternFill>
                  <bgColor rgb="FFD82891"/>
                </patternFill>
              </fill>
            </x14:dxf>
          </x14:cfRule>
          <x14:cfRule type="expression" priority="5" id="{00000000-000E-0000-0400-000005000000}">
            <xm:f>AND(J2&lt;&gt;"", IFERROR(INDEX('Recommendations'!$H$2:$H$178, MATCH(J2,'Recommendations'!$A$2:$A$178,0))="Risk Accepted", FALSE))</xm:f>
            <x14:dxf>
              <font>
                <color rgb="FF000000"/>
              </font>
              <fill>
                <patternFill>
                  <bgColor rgb="FFD9D9D9"/>
                </patternFill>
              </fill>
            </x14:dxf>
          </x14:cfRule>
          <x14:cfRule type="expression" priority="6" id="{00000000-000E-0000-0400-000006000000}">
            <xm:f>AND(J2&lt;&gt;"", IFERROR(INDEX('Recommendations'!$H$2:$H$178, MATCH(J2,'Recommendations'!$A$2:$A$178,0))="N/A",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1816</v>
      </c>
      <c r="C1" s="124" t="s">
        <v>10</v>
      </c>
      <c r="D1" s="124" t="s">
        <v>1021</v>
      </c>
      <c r="E1" s="124" t="s">
        <v>1817</v>
      </c>
      <c r="F1" s="124" t="s">
        <v>1818</v>
      </c>
      <c r="G1" s="124" t="s">
        <v>1115</v>
      </c>
      <c r="H1" s="124" t="s">
        <v>1116</v>
      </c>
      <c r="I1" s="124" t="s">
        <v>1117</v>
      </c>
      <c r="J1" s="124" t="s">
        <v>1118</v>
      </c>
      <c r="K1" s="124" t="s">
        <v>1119</v>
      </c>
      <c r="L1" s="124" t="s">
        <v>1120</v>
      </c>
      <c r="M1" s="124" t="s">
        <v>1121</v>
      </c>
      <c r="N1" s="124" t="s">
        <v>1122</v>
      </c>
      <c r="O1" s="124" t="s">
        <v>1123</v>
      </c>
      <c r="P1" s="124" t="s">
        <v>1124</v>
      </c>
      <c r="Q1" s="124" t="s">
        <v>1125</v>
      </c>
      <c r="R1" s="124" t="s">
        <v>1126</v>
      </c>
      <c r="S1" s="124" t="s">
        <v>1127</v>
      </c>
      <c r="T1" s="124" t="s">
        <v>1128</v>
      </c>
      <c r="U1" s="124" t="s">
        <v>1129</v>
      </c>
      <c r="V1" s="124" t="s">
        <v>1130</v>
      </c>
      <c r="W1" s="124" t="s">
        <v>1131</v>
      </c>
      <c r="X1" s="124" t="s">
        <v>1132</v>
      </c>
      <c r="Y1" s="124" t="s">
        <v>1133</v>
      </c>
      <c r="Z1" s="124" t="s">
        <v>1134</v>
      </c>
      <c r="AA1" s="124" t="s">
        <v>1135</v>
      </c>
      <c r="AB1" s="124" t="s">
        <v>1136</v>
      </c>
      <c r="AC1" s="124" t="s">
        <v>1137</v>
      </c>
      <c r="AD1" s="124" t="s">
        <v>1138</v>
      </c>
      <c r="AE1" s="124" t="s">
        <v>1139</v>
      </c>
      <c r="AF1" s="124" t="s">
        <v>1140</v>
      </c>
      <c r="AG1" s="124" t="s">
        <v>1141</v>
      </c>
      <c r="AH1" s="124" t="s">
        <v>1142</v>
      </c>
      <c r="AI1" s="124" t="s">
        <v>1143</v>
      </c>
      <c r="AJ1" s="124" t="s">
        <v>1144</v>
      </c>
      <c r="AK1" s="124" t="s">
        <v>1145</v>
      </c>
      <c r="AL1" s="124" t="s">
        <v>1146</v>
      </c>
      <c r="AM1" s="124" t="s">
        <v>1147</v>
      </c>
      <c r="AN1" s="124" t="s">
        <v>1148</v>
      </c>
      <c r="AO1" s="124" t="s">
        <v>1149</v>
      </c>
      <c r="AP1" s="124" t="s">
        <v>1150</v>
      </c>
      <c r="AQ1" s="124" t="s">
        <v>1151</v>
      </c>
      <c r="AR1" s="124" t="s">
        <v>1152</v>
      </c>
      <c r="AS1" s="124" t="s">
        <v>1153</v>
      </c>
      <c r="AT1" s="124" t="s">
        <v>1154</v>
      </c>
      <c r="AU1" s="125" t="s">
        <v>1155</v>
      </c>
    </row>
    <row r="2" spans="1:47" ht="60" customHeight="1" x14ac:dyDescent="0.35">
      <c r="A2" s="119" t="s">
        <v>1819</v>
      </c>
      <c r="B2" s="109" t="s">
        <v>1820</v>
      </c>
      <c r="C2" s="110" t="s">
        <v>1821</v>
      </c>
      <c r="D2" s="110" t="s">
        <v>1822</v>
      </c>
      <c r="E2" s="110" t="s">
        <v>1823</v>
      </c>
      <c r="F2" s="111" t="s">
        <v>1824</v>
      </c>
      <c r="G2" s="112">
        <f>IF(COUNTIF(H2:AU2,"&lt;&gt;")=0,"",SUMPRODUCT(((Recommendations[ImplStatus]="Implemented")+(Recommendations[ImplStatus]="Compensated"))*ISNUMBER(MATCH(Recommendations[Id],H2:AU2,0)))/COUNTIF(H2:AU2,"&lt;&gt;"))</f>
        <v>0</v>
      </c>
      <c r="H2" s="113" t="s">
        <v>41</v>
      </c>
      <c r="I2" s="113" t="s">
        <v>46</v>
      </c>
      <c r="J2" s="113" t="s">
        <v>565</v>
      </c>
      <c r="K2" s="113" t="s">
        <v>569</v>
      </c>
      <c r="L2" s="113" t="s">
        <v>573</v>
      </c>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1825</v>
      </c>
      <c r="B3" s="109" t="s">
        <v>1826</v>
      </c>
      <c r="C3" s="110" t="s">
        <v>1827</v>
      </c>
      <c r="D3" s="110" t="s">
        <v>1828</v>
      </c>
      <c r="E3" s="110" t="s">
        <v>1829</v>
      </c>
      <c r="F3" s="111" t="s">
        <v>1830</v>
      </c>
      <c r="G3" s="112">
        <f>IF(COUNTIF(H3:AU3,"&lt;&gt;")=0,"",SUMPRODUCT(((Recommendations[ImplStatus]="Implemented")+(Recommendations[ImplStatus]="Compensated"))*ISNUMBER(MATCH(Recommendations[Id],H3:AU3,0)))/COUNTIF(H3:AU3,"&lt;&gt;"))</f>
        <v>0</v>
      </c>
      <c r="H3" s="113" t="s">
        <v>198</v>
      </c>
      <c r="I3" s="113" t="s">
        <v>373</v>
      </c>
      <c r="J3" s="113" t="s">
        <v>413</v>
      </c>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1831</v>
      </c>
      <c r="B4" s="109" t="s">
        <v>1832</v>
      </c>
      <c r="C4" s="110" t="s">
        <v>1833</v>
      </c>
      <c r="D4" s="110" t="s">
        <v>1834</v>
      </c>
      <c r="E4" s="110" t="s">
        <v>1835</v>
      </c>
      <c r="F4" s="111" t="s">
        <v>1836</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1837</v>
      </c>
      <c r="B5" s="109" t="s">
        <v>1838</v>
      </c>
      <c r="C5" s="110" t="s">
        <v>1839</v>
      </c>
      <c r="D5" s="110" t="s">
        <v>1840</v>
      </c>
      <c r="E5" s="110" t="s">
        <v>1841</v>
      </c>
      <c r="F5" s="111" t="s">
        <v>1842</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1843</v>
      </c>
      <c r="B6" s="109" t="s">
        <v>1844</v>
      </c>
      <c r="C6" s="110" t="s">
        <v>1845</v>
      </c>
      <c r="D6" s="110" t="s">
        <v>1846</v>
      </c>
      <c r="E6" s="110" t="s">
        <v>21</v>
      </c>
      <c r="F6" s="111" t="s">
        <v>1847</v>
      </c>
      <c r="G6" s="112">
        <f>IF(COUNTIF(H6:AU6,"&lt;&gt;")=0,"",SUMPRODUCT(((Recommendations[ImplStatus]="Implemented")+(Recommendations[ImplStatus]="Compensated"))*ISNUMBER(MATCH(Recommendations[Id],H6:AU6,0)))/COUNTIF(H6:AU6,"&lt;&gt;"))</f>
        <v>0</v>
      </c>
      <c r="H6" s="113" t="s">
        <v>278</v>
      </c>
      <c r="I6" s="113" t="s">
        <v>820</v>
      </c>
      <c r="J6" s="113" t="s">
        <v>825</v>
      </c>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1848</v>
      </c>
      <c r="B7" s="109" t="s">
        <v>11</v>
      </c>
      <c r="C7" s="110" t="s">
        <v>1849</v>
      </c>
      <c r="D7" s="110" t="s">
        <v>1850</v>
      </c>
      <c r="E7" s="110" t="s">
        <v>21</v>
      </c>
      <c r="F7" s="111" t="s">
        <v>1851</v>
      </c>
      <c r="G7" s="112">
        <f>IF(COUNTIF(H7:AU7,"&lt;&gt;")=0,"",SUMPRODUCT(((Recommendations[ImplStatus]="Implemented")+(Recommendations[ImplStatus]="Compensated"))*ISNUMBER(MATCH(Recommendations[Id],H7:AU7,0)))/COUNTIF(H7:AU7,"&lt;&gt;"))</f>
        <v>0</v>
      </c>
      <c r="H7" s="113" t="s">
        <v>36</v>
      </c>
      <c r="I7" s="113" t="s">
        <v>164</v>
      </c>
      <c r="J7" s="113" t="s">
        <v>238</v>
      </c>
      <c r="K7" s="113" t="s">
        <v>408</v>
      </c>
      <c r="L7" s="113" t="s">
        <v>540</v>
      </c>
      <c r="M7" s="113" t="s">
        <v>577</v>
      </c>
      <c r="N7" s="113" t="s">
        <v>582</v>
      </c>
      <c r="O7" s="113" t="s">
        <v>586</v>
      </c>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1852</v>
      </c>
      <c r="B8" s="109" t="s">
        <v>1853</v>
      </c>
      <c r="C8" s="110" t="s">
        <v>1854</v>
      </c>
      <c r="D8" s="110" t="s">
        <v>1855</v>
      </c>
      <c r="E8" s="110" t="s">
        <v>21</v>
      </c>
      <c r="F8" s="111" t="s">
        <v>1856</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1857</v>
      </c>
      <c r="B9" s="109" t="s">
        <v>1858</v>
      </c>
      <c r="C9" s="110" t="s">
        <v>1859</v>
      </c>
      <c r="D9" s="110" t="s">
        <v>1860</v>
      </c>
      <c r="E9" s="110" t="s">
        <v>21</v>
      </c>
      <c r="F9" s="111" t="s">
        <v>1861</v>
      </c>
      <c r="G9" s="112">
        <f>IF(COUNTIF(H9:AU9,"&lt;&gt;")=0,"",SUMPRODUCT(((Recommendations[ImplStatus]="Implemented")+(Recommendations[ImplStatus]="Compensated"))*ISNUMBER(MATCH(Recommendations[Id],H9:AU9,0)))/COUNTIF(H9:AU9,"&lt;&gt;"))</f>
        <v>0</v>
      </c>
      <c r="H9" s="113" t="s">
        <v>363</v>
      </c>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1862</v>
      </c>
      <c r="B10" s="109" t="s">
        <v>1863</v>
      </c>
      <c r="C10" s="110" t="s">
        <v>1864</v>
      </c>
      <c r="D10" s="110" t="s">
        <v>1865</v>
      </c>
      <c r="E10" s="110" t="s">
        <v>21</v>
      </c>
      <c r="F10" s="111" t="s">
        <v>1866</v>
      </c>
      <c r="G10" s="112">
        <f>IF(COUNTIF(H10:AU10,"&lt;&gt;")=0,"",SUMPRODUCT(((Recommendations[ImplStatus]="Implemented")+(Recommendations[ImplStatus]="Compensated"))*ISNUMBER(MATCH(Recommendations[Id],H10:AU10,0)))/COUNTIF(H10:AU10,"&lt;&gt;"))</f>
        <v>0</v>
      </c>
      <c r="H10" s="113" t="s">
        <v>248</v>
      </c>
      <c r="I10" s="113" t="s">
        <v>535</v>
      </c>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1867</v>
      </c>
      <c r="B11" s="109" t="s">
        <v>1868</v>
      </c>
      <c r="C11" s="110" t="s">
        <v>1869</v>
      </c>
      <c r="D11" s="110" t="s">
        <v>1870</v>
      </c>
      <c r="E11" s="110" t="s">
        <v>21</v>
      </c>
      <c r="F11" s="111" t="s">
        <v>1871</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1872</v>
      </c>
      <c r="B12" s="109" t="s">
        <v>1873</v>
      </c>
      <c r="C12" s="110" t="s">
        <v>1874</v>
      </c>
      <c r="D12" s="110" t="s">
        <v>1875</v>
      </c>
      <c r="E12" s="110" t="s">
        <v>21</v>
      </c>
      <c r="F12" s="111" t="s">
        <v>1876</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1877</v>
      </c>
      <c r="B13" s="109" t="s">
        <v>1878</v>
      </c>
      <c r="C13" s="110" t="s">
        <v>1879</v>
      </c>
      <c r="D13" s="110" t="s">
        <v>1880</v>
      </c>
      <c r="E13" s="110" t="s">
        <v>21</v>
      </c>
      <c r="F13" s="111" t="s">
        <v>1881</v>
      </c>
      <c r="G13" s="112">
        <f>IF(COUNTIF(H13:AU13,"&lt;&gt;")=0,"",SUMPRODUCT(((Recommendations[ImplStatus]="Implemented")+(Recommendations[ImplStatus]="Compensated"))*ISNUMBER(MATCH(Recommendations[Id],H13:AU13,0)))/COUNTIF(H13:AU13,"&lt;&gt;"))</f>
        <v>0</v>
      </c>
      <c r="H13" s="113" t="s">
        <v>664</v>
      </c>
      <c r="I13" s="113" t="s">
        <v>684</v>
      </c>
      <c r="J13" s="113" t="s">
        <v>690</v>
      </c>
      <c r="K13" s="113" t="s">
        <v>694</v>
      </c>
      <c r="L13" s="113" t="s">
        <v>698</v>
      </c>
      <c r="M13" s="113" t="s">
        <v>717</v>
      </c>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1882</v>
      </c>
      <c r="B14" s="109" t="s">
        <v>1883</v>
      </c>
      <c r="C14" s="110" t="s">
        <v>1884</v>
      </c>
      <c r="D14" s="110" t="s">
        <v>1885</v>
      </c>
      <c r="E14" s="110" t="s">
        <v>21</v>
      </c>
      <c r="F14" s="111" t="s">
        <v>1886</v>
      </c>
      <c r="G14" s="112">
        <f>IF(COUNTIF(H14:AU14,"&lt;&gt;")=0,"",SUMPRODUCT(((Recommendations[ImplStatus]="Implemented")+(Recommendations[ImplStatus]="Compensated"))*ISNUMBER(MATCH(Recommendations[Id],H14:AU14,0)))/COUNTIF(H14:AU14,"&lt;&gt;"))</f>
        <v>0</v>
      </c>
      <c r="H14" s="113" t="s">
        <v>183</v>
      </c>
      <c r="I14" s="113" t="s">
        <v>188</v>
      </c>
      <c r="J14" s="113" t="s">
        <v>193</v>
      </c>
      <c r="K14" s="113" t="s">
        <v>313</v>
      </c>
      <c r="L14" s="113" t="s">
        <v>423</v>
      </c>
      <c r="M14" s="113" t="s">
        <v>485</v>
      </c>
      <c r="N14" s="113" t="s">
        <v>634</v>
      </c>
      <c r="O14" s="113" t="s">
        <v>679</v>
      </c>
      <c r="P14" s="113" t="s">
        <v>717</v>
      </c>
      <c r="Q14" s="113" t="s">
        <v>722</v>
      </c>
      <c r="R14" s="113" t="s">
        <v>727</v>
      </c>
      <c r="S14" s="113" t="s">
        <v>731</v>
      </c>
      <c r="T14" s="113" t="s">
        <v>735</v>
      </c>
      <c r="U14" s="113" t="s">
        <v>739</v>
      </c>
      <c r="V14" s="113" t="s">
        <v>743</v>
      </c>
      <c r="W14" s="113" t="s">
        <v>747</v>
      </c>
      <c r="X14" s="113" t="s">
        <v>751</v>
      </c>
      <c r="Y14" s="113" t="s">
        <v>755</v>
      </c>
      <c r="Z14" s="113" t="s">
        <v>759</v>
      </c>
      <c r="AA14" s="113" t="s">
        <v>763</v>
      </c>
      <c r="AB14" s="113" t="s">
        <v>767</v>
      </c>
      <c r="AC14" s="113" t="s">
        <v>771</v>
      </c>
      <c r="AD14" s="113" t="s">
        <v>775</v>
      </c>
      <c r="AE14" s="113" t="s">
        <v>805</v>
      </c>
      <c r="AF14" s="113" t="s">
        <v>830</v>
      </c>
      <c r="AG14" s="113" t="s">
        <v>850</v>
      </c>
      <c r="AH14" s="113"/>
      <c r="AI14" s="113"/>
      <c r="AJ14" s="113"/>
      <c r="AK14" s="113"/>
      <c r="AL14" s="113"/>
      <c r="AM14" s="113"/>
      <c r="AN14" s="113"/>
      <c r="AO14" s="113"/>
      <c r="AP14" s="113"/>
      <c r="AQ14" s="113"/>
      <c r="AR14" s="113"/>
      <c r="AS14" s="113"/>
      <c r="AT14" s="113"/>
      <c r="AU14" s="121"/>
    </row>
    <row r="15" spans="1:47" ht="60" customHeight="1" x14ac:dyDescent="0.35">
      <c r="A15" s="119" t="s">
        <v>1887</v>
      </c>
      <c r="B15" s="109" t="s">
        <v>1888</v>
      </c>
      <c r="C15" s="110" t="s">
        <v>1889</v>
      </c>
      <c r="D15" s="110" t="s">
        <v>1890</v>
      </c>
      <c r="E15" s="110" t="s">
        <v>21</v>
      </c>
      <c r="F15" s="111" t="s">
        <v>1891</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1892</v>
      </c>
      <c r="B16" s="109" t="s">
        <v>1893</v>
      </c>
      <c r="C16" s="110" t="s">
        <v>1894</v>
      </c>
      <c r="D16" s="110" t="s">
        <v>1895</v>
      </c>
      <c r="E16" s="110" t="s">
        <v>21</v>
      </c>
      <c r="F16" s="111" t="s">
        <v>1896</v>
      </c>
      <c r="G16" s="112">
        <f>IF(COUNTIF(H16:AU16,"&lt;&gt;")=0,"",SUMPRODUCT(((Recommendations[ImplStatus]="Implemented")+(Recommendations[ImplStatus]="Compensated"))*ISNUMBER(MATCH(Recommendations[Id],H16:AU16,0)))/COUNTIF(H16:AU16,"&lt;&gt;"))</f>
        <v>0</v>
      </c>
      <c r="H16" s="113" t="s">
        <v>63</v>
      </c>
      <c r="I16" s="113" t="s">
        <v>99</v>
      </c>
      <c r="J16" s="113" t="s">
        <v>368</v>
      </c>
      <c r="K16" s="113" t="s">
        <v>443</v>
      </c>
      <c r="L16" s="113" t="s">
        <v>465</v>
      </c>
      <c r="M16" s="113" t="s">
        <v>614</v>
      </c>
      <c r="N16" s="113" t="s">
        <v>619</v>
      </c>
      <c r="O16" s="113" t="s">
        <v>659</v>
      </c>
      <c r="P16" s="113" t="s">
        <v>669</v>
      </c>
      <c r="Q16" s="113" t="s">
        <v>855</v>
      </c>
      <c r="R16" s="113" t="s">
        <v>860</v>
      </c>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1897</v>
      </c>
      <c r="B17" s="109" t="s">
        <v>1898</v>
      </c>
      <c r="C17" s="110" t="s">
        <v>1899</v>
      </c>
      <c r="D17" s="110" t="s">
        <v>1900</v>
      </c>
      <c r="E17" s="110" t="s">
        <v>21</v>
      </c>
      <c r="F17" s="111" t="s">
        <v>1901</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1902</v>
      </c>
      <c r="B18" s="109" t="s">
        <v>1903</v>
      </c>
      <c r="C18" s="110" t="s">
        <v>1904</v>
      </c>
      <c r="D18" s="110" t="s">
        <v>1905</v>
      </c>
      <c r="E18" s="110" t="s">
        <v>21</v>
      </c>
      <c r="F18" s="111" t="s">
        <v>1906</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1907</v>
      </c>
      <c r="B19" s="109" t="s">
        <v>1908</v>
      </c>
      <c r="C19" s="110" t="s">
        <v>1909</v>
      </c>
      <c r="D19" s="110" t="s">
        <v>1910</v>
      </c>
      <c r="E19" s="110" t="s">
        <v>21</v>
      </c>
      <c r="F19" s="111" t="s">
        <v>1911</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1912</v>
      </c>
      <c r="B20" s="109" t="s">
        <v>1913</v>
      </c>
      <c r="C20" s="110" t="s">
        <v>1914</v>
      </c>
      <c r="D20" s="110" t="s">
        <v>1915</v>
      </c>
      <c r="E20" s="110" t="s">
        <v>21</v>
      </c>
      <c r="F20" s="111" t="s">
        <v>1916</v>
      </c>
      <c r="G20" s="112">
        <f>IF(COUNTIF(H20:AU20,"&lt;&gt;")=0,"",SUMPRODUCT(((Recommendations[ImplStatus]="Implemented")+(Recommendations[ImplStatus]="Compensated"))*ISNUMBER(MATCH(Recommendations[Id],H20:AU20,0)))/COUNTIF(H20:AU20,"&lt;&gt;"))</f>
        <v>0</v>
      </c>
      <c r="H20" s="113" t="s">
        <v>124</v>
      </c>
      <c r="I20" s="113" t="s">
        <v>139</v>
      </c>
      <c r="J20" s="113" t="s">
        <v>283</v>
      </c>
      <c r="K20" s="113" t="s">
        <v>288</v>
      </c>
      <c r="L20" s="113" t="s">
        <v>298</v>
      </c>
      <c r="M20" s="113" t="s">
        <v>303</v>
      </c>
      <c r="N20" s="113" t="s">
        <v>308</v>
      </c>
      <c r="O20" s="113" t="s">
        <v>403</v>
      </c>
      <c r="P20" s="113" t="s">
        <v>428</v>
      </c>
      <c r="Q20" s="113" t="s">
        <v>433</v>
      </c>
      <c r="R20" s="113" t="s">
        <v>438</v>
      </c>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1917</v>
      </c>
      <c r="B21" s="109" t="s">
        <v>1918</v>
      </c>
      <c r="C21" s="110" t="s">
        <v>1919</v>
      </c>
      <c r="D21" s="110" t="s">
        <v>1920</v>
      </c>
      <c r="E21" s="110" t="s">
        <v>1921</v>
      </c>
      <c r="F21" s="111" t="s">
        <v>1922</v>
      </c>
      <c r="G21" s="112">
        <f>IF(COUNTIF(H21:AU21,"&lt;&gt;")=0,"",SUMPRODUCT(((Recommendations[ImplStatus]="Implemented")+(Recommendations[ImplStatus]="Compensated"))*ISNUMBER(MATCH(Recommendations[Id],H21:AU21,0)))/COUNTIF(H21:AU21,"&lt;&gt;"))</f>
        <v>0</v>
      </c>
      <c r="H21" s="113" t="s">
        <v>14</v>
      </c>
      <c r="I21" s="113" t="s">
        <v>840</v>
      </c>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1923</v>
      </c>
      <c r="B22" s="109" t="s">
        <v>1924</v>
      </c>
      <c r="C22" s="110" t="s">
        <v>1925</v>
      </c>
      <c r="D22" s="110" t="s">
        <v>1926</v>
      </c>
      <c r="E22" s="110" t="s">
        <v>1927</v>
      </c>
      <c r="F22" s="111" t="s">
        <v>1928</v>
      </c>
      <c r="G22" s="112">
        <f>IF(COUNTIF(H22:AU22,"&lt;&gt;")=0,"",SUMPRODUCT(((Recommendations[ImplStatus]="Implemented")+(Recommendations[ImplStatus]="Compensated"))*ISNUMBER(MATCH(Recommendations[Id],H22:AU22,0)))/COUNTIF(H22:AU22,"&lt;&gt;"))</f>
        <v>0</v>
      </c>
      <c r="H22" s="113" t="s">
        <v>779</v>
      </c>
      <c r="I22" s="113" t="s">
        <v>784</v>
      </c>
      <c r="J22" s="113" t="s">
        <v>788</v>
      </c>
      <c r="K22" s="113" t="s">
        <v>792</v>
      </c>
      <c r="L22" s="113" t="s">
        <v>796</v>
      </c>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1929</v>
      </c>
      <c r="B23" s="109" t="s">
        <v>1930</v>
      </c>
      <c r="C23" s="110" t="s">
        <v>1931</v>
      </c>
      <c r="D23" s="110" t="s">
        <v>1932</v>
      </c>
      <c r="E23" s="110" t="s">
        <v>1933</v>
      </c>
      <c r="F23" s="111" t="s">
        <v>1934</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1935</v>
      </c>
      <c r="B24" s="109" t="s">
        <v>1936</v>
      </c>
      <c r="C24" s="110" t="s">
        <v>1937</v>
      </c>
      <c r="D24" s="110" t="s">
        <v>1938</v>
      </c>
      <c r="E24" s="110" t="s">
        <v>21</v>
      </c>
      <c r="F24" s="111" t="s">
        <v>1939</v>
      </c>
      <c r="G24" s="112">
        <f>IF(COUNTIF(H24:AU24,"&lt;&gt;")=0,"",SUMPRODUCT(((Recommendations[ImplStatus]="Implemented")+(Recommendations[ImplStatus]="Compensated"))*ISNUMBER(MATCH(Recommendations[Id],H24:AU24,0)))/COUNTIF(H24:AU24,"&lt;&gt;"))</f>
        <v>0</v>
      </c>
      <c r="H24" s="113" t="s">
        <v>213</v>
      </c>
      <c r="I24" s="113" t="s">
        <v>624</v>
      </c>
      <c r="J24" s="113" t="s">
        <v>629</v>
      </c>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1940</v>
      </c>
      <c r="B25" s="109" t="s">
        <v>1941</v>
      </c>
      <c r="C25" s="110" t="s">
        <v>1942</v>
      </c>
      <c r="D25" s="110" t="s">
        <v>21</v>
      </c>
      <c r="E25" s="110" t="s">
        <v>21</v>
      </c>
      <c r="F25" s="111" t="s">
        <v>1943</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1944</v>
      </c>
      <c r="B26" s="109" t="s">
        <v>1945</v>
      </c>
      <c r="C26" s="110" t="s">
        <v>1946</v>
      </c>
      <c r="D26" s="110" t="s">
        <v>1947</v>
      </c>
      <c r="E26" s="110" t="s">
        <v>21</v>
      </c>
      <c r="F26" s="111" t="s">
        <v>1948</v>
      </c>
      <c r="G26" s="112">
        <f>IF(COUNTIF(H26:AU26,"&lt;&gt;")=0,"",SUMPRODUCT(((Recommendations[ImplStatus]="Implemented")+(Recommendations[ImplStatus]="Compensated"))*ISNUMBER(MATCH(Recommendations[Id],H26:AU26,0)))/COUNTIF(H26:AU26,"&lt;&gt;"))</f>
        <v>0</v>
      </c>
      <c r="H26" s="113" t="s">
        <v>253</v>
      </c>
      <c r="I26" s="113" t="s">
        <v>258</v>
      </c>
      <c r="J26" s="113" t="s">
        <v>263</v>
      </c>
      <c r="K26" s="113" t="s">
        <v>318</v>
      </c>
      <c r="L26" s="113" t="s">
        <v>323</v>
      </c>
      <c r="M26" s="113" t="s">
        <v>328</v>
      </c>
      <c r="N26" s="113" t="s">
        <v>453</v>
      </c>
      <c r="O26" s="113" t="s">
        <v>457</v>
      </c>
      <c r="P26" s="113" t="s">
        <v>461</v>
      </c>
      <c r="Q26" s="113" t="s">
        <v>515</v>
      </c>
      <c r="R26" s="113" t="s">
        <v>593</v>
      </c>
      <c r="S26" s="113" t="s">
        <v>603</v>
      </c>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1949</v>
      </c>
      <c r="B27" s="109" t="s">
        <v>1950</v>
      </c>
      <c r="C27" s="110" t="s">
        <v>1951</v>
      </c>
      <c r="D27" s="110" t="s">
        <v>1952</v>
      </c>
      <c r="E27" s="110" t="s">
        <v>1953</v>
      </c>
      <c r="F27" s="111" t="s">
        <v>1954</v>
      </c>
      <c r="G27" s="112">
        <f>IF(COUNTIF(H27:AU27,"&lt;&gt;")=0,"",SUMPRODUCT(((Recommendations[ImplStatus]="Implemented")+(Recommendations[ImplStatus]="Compensated"))*ISNUMBER(MATCH(Recommendations[Id],H27:AU27,0)))/COUNTIF(H27:AU27,"&lt;&gt;"))</f>
        <v>0</v>
      </c>
      <c r="H27" s="113" t="s">
        <v>68</v>
      </c>
      <c r="I27" s="113" t="s">
        <v>74</v>
      </c>
      <c r="J27" s="113" t="s">
        <v>79</v>
      </c>
      <c r="K27" s="113" t="s">
        <v>94</v>
      </c>
      <c r="L27" s="113" t="s">
        <v>104</v>
      </c>
      <c r="M27" s="113" t="s">
        <v>109</v>
      </c>
      <c r="N27" s="113" t="s">
        <v>119</v>
      </c>
      <c r="O27" s="113" t="s">
        <v>124</v>
      </c>
      <c r="P27" s="113" t="s">
        <v>129</v>
      </c>
      <c r="Q27" s="113" t="s">
        <v>134</v>
      </c>
      <c r="R27" s="113" t="s">
        <v>139</v>
      </c>
      <c r="S27" s="113" t="s">
        <v>154</v>
      </c>
      <c r="T27" s="113" t="s">
        <v>268</v>
      </c>
      <c r="U27" s="113" t="s">
        <v>293</v>
      </c>
      <c r="V27" s="113" t="s">
        <v>333</v>
      </c>
      <c r="W27" s="113" t="s">
        <v>338</v>
      </c>
      <c r="X27" s="113" t="s">
        <v>448</v>
      </c>
      <c r="Y27" s="113" t="s">
        <v>702</v>
      </c>
      <c r="Z27" s="113" t="s">
        <v>707</v>
      </c>
      <c r="AA27" s="113" t="s">
        <v>810</v>
      </c>
      <c r="AB27" s="113" t="s">
        <v>835</v>
      </c>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1955</v>
      </c>
      <c r="B28" s="109" t="s">
        <v>1956</v>
      </c>
      <c r="C28" s="110" t="s">
        <v>1957</v>
      </c>
      <c r="D28" s="110" t="s">
        <v>21</v>
      </c>
      <c r="E28" s="110" t="s">
        <v>21</v>
      </c>
      <c r="F28" s="111" t="s">
        <v>1958</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1959</v>
      </c>
      <c r="B29" s="109" t="s">
        <v>1960</v>
      </c>
      <c r="C29" s="110" t="s">
        <v>1961</v>
      </c>
      <c r="D29" s="110" t="s">
        <v>1962</v>
      </c>
      <c r="E29" s="110" t="s">
        <v>1963</v>
      </c>
      <c r="F29" s="111" t="s">
        <v>1964</v>
      </c>
      <c r="G29" s="112">
        <f>IF(COUNTIF(H29:AU29,"&lt;&gt;")=0,"",SUMPRODUCT(((Recommendations[ImplStatus]="Implemented")+(Recommendations[ImplStatus]="Compensated"))*ISNUMBER(MATCH(Recommendations[Id],H29:AU29,0)))/COUNTIF(H29:AU29,"&lt;&gt;"))</f>
        <v>0</v>
      </c>
      <c r="H29" s="113" t="s">
        <v>89</v>
      </c>
      <c r="I29" s="113" t="s">
        <v>169</v>
      </c>
      <c r="J29" s="113" t="s">
        <v>174</v>
      </c>
      <c r="K29" s="113" t="s">
        <v>179</v>
      </c>
      <c r="L29" s="113" t="s">
        <v>377</v>
      </c>
      <c r="M29" s="113" t="s">
        <v>388</v>
      </c>
      <c r="N29" s="113" t="s">
        <v>475</v>
      </c>
      <c r="O29" s="113" t="s">
        <v>480</v>
      </c>
      <c r="P29" s="113" t="s">
        <v>544</v>
      </c>
      <c r="Q29" s="113" t="s">
        <v>549</v>
      </c>
      <c r="R29" s="113" t="s">
        <v>553</v>
      </c>
      <c r="S29" s="113" t="s">
        <v>557</v>
      </c>
      <c r="T29" s="113" t="s">
        <v>561</v>
      </c>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1965</v>
      </c>
      <c r="B30" s="109" t="s">
        <v>1966</v>
      </c>
      <c r="C30" s="110" t="s">
        <v>1967</v>
      </c>
      <c r="D30" s="110" t="s">
        <v>1968</v>
      </c>
      <c r="E30" s="110" t="s">
        <v>21</v>
      </c>
      <c r="F30" s="111" t="s">
        <v>1969</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1970</v>
      </c>
      <c r="B31" s="109" t="s">
        <v>1971</v>
      </c>
      <c r="C31" s="110" t="s">
        <v>1972</v>
      </c>
      <c r="D31" s="110" t="s">
        <v>1973</v>
      </c>
      <c r="E31" s="110" t="s">
        <v>1974</v>
      </c>
      <c r="F31" s="111" t="s">
        <v>1975</v>
      </c>
      <c r="G31" s="112">
        <f>IF(COUNTIF(H31:AU31,"&lt;&gt;")=0,"",SUMPRODUCT(((Recommendations[ImplStatus]="Implemented")+(Recommendations[ImplStatus]="Compensated"))*ISNUMBER(MATCH(Recommendations[Id],H31:AU31,0)))/COUNTIF(H31:AU31,"&lt;&gt;"))</f>
        <v>0</v>
      </c>
      <c r="H31" s="113" t="s">
        <v>84</v>
      </c>
      <c r="I31" s="113" t="s">
        <v>159</v>
      </c>
      <c r="J31" s="113" t="s">
        <v>208</v>
      </c>
      <c r="K31" s="113" t="s">
        <v>348</v>
      </c>
      <c r="L31" s="113" t="s">
        <v>398</v>
      </c>
      <c r="M31" s="113" t="s">
        <v>418</v>
      </c>
      <c r="N31" s="113" t="s">
        <v>470</v>
      </c>
      <c r="O31" s="113" t="s">
        <v>495</v>
      </c>
      <c r="P31" s="113" t="s">
        <v>510</v>
      </c>
      <c r="Q31" s="113" t="s">
        <v>520</v>
      </c>
      <c r="R31" s="113" t="s">
        <v>525</v>
      </c>
      <c r="S31" s="113" t="s">
        <v>530</v>
      </c>
      <c r="T31" s="113" t="s">
        <v>590</v>
      </c>
      <c r="U31" s="113" t="s">
        <v>613</v>
      </c>
      <c r="V31" s="113" t="s">
        <v>644</v>
      </c>
      <c r="W31" s="113" t="s">
        <v>649</v>
      </c>
      <c r="X31" s="113" t="s">
        <v>674</v>
      </c>
      <c r="Y31" s="113" t="s">
        <v>815</v>
      </c>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1976</v>
      </c>
      <c r="B32" s="109" t="s">
        <v>1977</v>
      </c>
      <c r="C32" s="110" t="s">
        <v>1978</v>
      </c>
      <c r="D32" s="110" t="s">
        <v>1979</v>
      </c>
      <c r="E32" s="110" t="s">
        <v>1980</v>
      </c>
      <c r="F32" s="111" t="s">
        <v>1981</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1982</v>
      </c>
      <c r="B33" s="109" t="s">
        <v>1983</v>
      </c>
      <c r="C33" s="110" t="s">
        <v>1984</v>
      </c>
      <c r="D33" s="110" t="s">
        <v>1985</v>
      </c>
      <c r="E33" s="110" t="s">
        <v>21</v>
      </c>
      <c r="F33" s="111" t="s">
        <v>1986</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1987</v>
      </c>
      <c r="B34" s="109" t="s">
        <v>1988</v>
      </c>
      <c r="C34" s="110" t="s">
        <v>1989</v>
      </c>
      <c r="D34" s="110" t="s">
        <v>1990</v>
      </c>
      <c r="E34" s="110" t="s">
        <v>21</v>
      </c>
      <c r="F34" s="111" t="s">
        <v>1991</v>
      </c>
      <c r="G34" s="112">
        <f>IF(COUNTIF(H34:AU34,"&lt;&gt;")=0,"",SUMPRODUCT(((Recommendations[ImplStatus]="Implemented")+(Recommendations[ImplStatus]="Compensated"))*ISNUMBER(MATCH(Recommendations[Id],H34:AU34,0)))/COUNTIF(H34:AU34,"&lt;&gt;"))</f>
        <v>0</v>
      </c>
      <c r="H34" s="113" t="s">
        <v>114</v>
      </c>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1992</v>
      </c>
      <c r="B35" s="109" t="s">
        <v>1993</v>
      </c>
      <c r="C35" s="110" t="s">
        <v>1994</v>
      </c>
      <c r="D35" s="110" t="s">
        <v>1995</v>
      </c>
      <c r="E35" s="110" t="s">
        <v>1996</v>
      </c>
      <c r="F35" s="111" t="s">
        <v>1997</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1998</v>
      </c>
      <c r="B36" s="109" t="s">
        <v>1999</v>
      </c>
      <c r="C36" s="110" t="s">
        <v>2000</v>
      </c>
      <c r="D36" s="110" t="s">
        <v>2001</v>
      </c>
      <c r="E36" s="110" t="s">
        <v>2002</v>
      </c>
      <c r="F36" s="111" t="s">
        <v>2003</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2004</v>
      </c>
      <c r="B37" s="109" t="s">
        <v>2005</v>
      </c>
      <c r="C37" s="110" t="s">
        <v>2006</v>
      </c>
      <c r="D37" s="110" t="s">
        <v>2007</v>
      </c>
      <c r="E37" s="110" t="s">
        <v>21</v>
      </c>
      <c r="F37" s="111" t="s">
        <v>2008</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2009</v>
      </c>
      <c r="B38" s="109" t="s">
        <v>2010</v>
      </c>
      <c r="C38" s="110" t="s">
        <v>2011</v>
      </c>
      <c r="D38" s="110" t="s">
        <v>2012</v>
      </c>
      <c r="E38" s="110" t="s">
        <v>2013</v>
      </c>
      <c r="F38" s="111" t="s">
        <v>2014</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2015</v>
      </c>
      <c r="B39" s="109" t="s">
        <v>2016</v>
      </c>
      <c r="C39" s="110" t="s">
        <v>2017</v>
      </c>
      <c r="D39" s="110" t="s">
        <v>2018</v>
      </c>
      <c r="E39" s="110" t="s">
        <v>21</v>
      </c>
      <c r="F39" s="111" t="s">
        <v>2019</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2020</v>
      </c>
      <c r="B40" s="109" t="s">
        <v>2021</v>
      </c>
      <c r="C40" s="110" t="s">
        <v>2022</v>
      </c>
      <c r="D40" s="110" t="s">
        <v>2023</v>
      </c>
      <c r="E40" s="110" t="s">
        <v>2024</v>
      </c>
      <c r="F40" s="111" t="s">
        <v>2025</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2026</v>
      </c>
      <c r="B41" s="109" t="s">
        <v>2027</v>
      </c>
      <c r="C41" s="110" t="s">
        <v>2028</v>
      </c>
      <c r="D41" s="110" t="s">
        <v>2029</v>
      </c>
      <c r="E41" s="110" t="s">
        <v>2030</v>
      </c>
      <c r="F41" s="111" t="s">
        <v>2031</v>
      </c>
      <c r="G41" s="112">
        <f>IF(COUNTIF(H41:AU41,"&lt;&gt;")=0,"",SUMPRODUCT(((Recommendations[ImplStatus]="Implemented")+(Recommendations[ImplStatus]="Compensated"))*ISNUMBER(MATCH(Recommendations[Id],H41:AU41,0)))/COUNTIF(H41:AU41,"&lt;&gt;"))</f>
        <v>0</v>
      </c>
      <c r="H41" s="113" t="s">
        <v>353</v>
      </c>
      <c r="I41" s="113" t="s">
        <v>358</v>
      </c>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2032</v>
      </c>
      <c r="B42" s="109" t="s">
        <v>2033</v>
      </c>
      <c r="C42" s="110" t="s">
        <v>2034</v>
      </c>
      <c r="D42" s="110" t="s">
        <v>2035</v>
      </c>
      <c r="E42" s="110" t="s">
        <v>2036</v>
      </c>
      <c r="F42" s="111" t="s">
        <v>2037</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2038</v>
      </c>
      <c r="B43" s="109" t="s">
        <v>2039</v>
      </c>
      <c r="C43" s="110" t="s">
        <v>2040</v>
      </c>
      <c r="D43" s="110" t="s">
        <v>2041</v>
      </c>
      <c r="E43" s="110" t="s">
        <v>2042</v>
      </c>
      <c r="F43" s="111" t="s">
        <v>2043</v>
      </c>
      <c r="G43" s="112">
        <f>IF(COUNTIF(H43:AU43,"&lt;&gt;")=0,"",SUMPRODUCT(((Recommendations[ImplStatus]="Implemented")+(Recommendations[ImplStatus]="Compensated"))*ISNUMBER(MATCH(Recommendations[Id],H43:AU43,0)))/COUNTIF(H43:AU43,"&lt;&gt;"))</f>
        <v>0</v>
      </c>
      <c r="H43" s="113" t="s">
        <v>25</v>
      </c>
      <c r="I43" s="113" t="s">
        <v>31</v>
      </c>
      <c r="J43" s="113" t="s">
        <v>398</v>
      </c>
      <c r="K43" s="113" t="s">
        <v>490</v>
      </c>
      <c r="L43" s="113" t="s">
        <v>590</v>
      </c>
      <c r="M43" s="113" t="s">
        <v>613</v>
      </c>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2044</v>
      </c>
      <c r="B44" s="109" t="s">
        <v>2045</v>
      </c>
      <c r="C44" s="110" t="s">
        <v>2046</v>
      </c>
      <c r="D44" s="110" t="s">
        <v>2047</v>
      </c>
      <c r="E44" s="110" t="s">
        <v>21</v>
      </c>
      <c r="F44" s="111" t="s">
        <v>2048</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2049</v>
      </c>
      <c r="B45" s="114" t="s">
        <v>2050</v>
      </c>
      <c r="C45" s="115" t="s">
        <v>2051</v>
      </c>
      <c r="D45" s="115" t="s">
        <v>2052</v>
      </c>
      <c r="E45" s="115" t="s">
        <v>2053</v>
      </c>
      <c r="F45" s="116" t="s">
        <v>2054</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865</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IFERROR(INDEX('Recommendations'!$H$2:$H$178, MATCH(H2,'Recommendations'!$A$2:$A$178,0))="Implemented", FALSE))</xm:f>
            <x14:dxf>
              <font>
                <color rgb="FF000000"/>
              </font>
              <fill>
                <patternFill>
                  <bgColor rgb="FF3C7D22"/>
                </patternFill>
              </fill>
            </x14:dxf>
          </x14:cfRule>
          <x14:cfRule type="expression" priority="2" id="{00000000-000E-0000-0500-000002000000}">
            <xm:f>AND(H2&lt;&gt;"", IFERROR(INDEX('Recommendations'!$H$2:$H$178, MATCH(H2,'Recommendations'!$A$2:$A$178,0))="Compensated", FALSE))</xm:f>
            <x14:dxf>
              <font>
                <color rgb="FF000000"/>
              </font>
              <fill>
                <patternFill>
                  <bgColor rgb="FFC6E0B4"/>
                </patternFill>
              </fill>
            </x14:dxf>
          </x14:cfRule>
          <x14:cfRule type="expression" priority="3" id="{00000000-000E-0000-0500-000003000000}">
            <xm:f>AND(H2&lt;&gt;"", IFERROR(INDEX('Recommendations'!$H$2:$H$178, MATCH(H2,'Recommendations'!$A$2:$A$178,0))="Testing", FALSE))</xm:f>
            <x14:dxf>
              <font>
                <color rgb="FF000000"/>
              </font>
              <fill>
                <patternFill>
                  <bgColor rgb="FFFFC000"/>
                </patternFill>
              </fill>
            </x14:dxf>
          </x14:cfRule>
          <x14:cfRule type="expression" priority="4" id="{00000000-000E-0000-0500-000004000000}">
            <xm:f>AND(H2&lt;&gt;"", IFERROR(INDEX('Recommendations'!$H$2:$H$178, MATCH(H2,'Recommendations'!$A$2:$A$178,0))="Failed", FALSE))</xm:f>
            <x14:dxf>
              <font>
                <color rgb="FF000000"/>
              </font>
              <fill>
                <patternFill>
                  <bgColor rgb="FFD82891"/>
                </patternFill>
              </fill>
            </x14:dxf>
          </x14:cfRule>
          <x14:cfRule type="expression" priority="5" id="{00000000-000E-0000-0500-000005000000}">
            <xm:f>AND(H2&lt;&gt;"", IFERROR(INDEX('Recommendations'!$H$2:$H$178, MATCH(H2,'Recommendations'!$A$2:$A$178,0))="Risk Accepted", FALSE))</xm:f>
            <x14:dxf>
              <font>
                <color rgb="FF000000"/>
              </font>
              <fill>
                <patternFill>
                  <bgColor rgb="FFD9D9D9"/>
                </patternFill>
              </fill>
            </x14:dxf>
          </x14:cfRule>
          <x14:cfRule type="expression" priority="6" id="{00000000-000E-0000-0500-000006000000}">
            <xm:f>AND(H2&lt;&gt;"", IFERROR(INDEX('Recommendations'!$H$2:$H$178, MATCH(H2,'Recommendations'!$A$2:$A$178,0))="N/A",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2055</v>
      </c>
      <c r="B1" s="148" t="s">
        <v>1109</v>
      </c>
      <c r="C1" s="148" t="s">
        <v>0</v>
      </c>
      <c r="D1" s="148" t="s">
        <v>1110</v>
      </c>
      <c r="E1" s="148" t="s">
        <v>2056</v>
      </c>
      <c r="F1" s="148" t="s">
        <v>2057</v>
      </c>
      <c r="G1" s="148" t="s">
        <v>2058</v>
      </c>
      <c r="H1" s="148" t="s">
        <v>2059</v>
      </c>
      <c r="I1" s="148" t="s">
        <v>1115</v>
      </c>
      <c r="J1" s="148" t="s">
        <v>1116</v>
      </c>
      <c r="K1" s="148" t="s">
        <v>1117</v>
      </c>
      <c r="L1" s="148" t="s">
        <v>1118</v>
      </c>
      <c r="M1" s="148" t="s">
        <v>1119</v>
      </c>
      <c r="N1" s="148" t="s">
        <v>1120</v>
      </c>
      <c r="O1" s="148" t="s">
        <v>1121</v>
      </c>
      <c r="P1" s="148" t="s">
        <v>1122</v>
      </c>
      <c r="Q1" s="148" t="s">
        <v>1123</v>
      </c>
      <c r="R1" s="148" t="s">
        <v>1124</v>
      </c>
      <c r="S1" s="148" t="s">
        <v>1125</v>
      </c>
      <c r="T1" s="148" t="s">
        <v>1126</v>
      </c>
      <c r="U1" s="148" t="s">
        <v>1127</v>
      </c>
      <c r="V1" s="148" t="s">
        <v>1128</v>
      </c>
      <c r="W1" s="148" t="s">
        <v>1129</v>
      </c>
      <c r="X1" s="148" t="s">
        <v>1130</v>
      </c>
      <c r="Y1" s="148" t="s">
        <v>1131</v>
      </c>
      <c r="Z1" s="148" t="s">
        <v>1132</v>
      </c>
      <c r="AA1" s="148" t="s">
        <v>1133</v>
      </c>
      <c r="AB1" s="148" t="s">
        <v>1134</v>
      </c>
      <c r="AC1" s="148" t="s">
        <v>1135</v>
      </c>
      <c r="AD1" s="148" t="s">
        <v>1136</v>
      </c>
      <c r="AE1" s="148" t="s">
        <v>1137</v>
      </c>
      <c r="AF1" s="148" t="s">
        <v>1138</v>
      </c>
      <c r="AG1" s="148" t="s">
        <v>1139</v>
      </c>
      <c r="AH1" s="148" t="s">
        <v>1140</v>
      </c>
      <c r="AI1" s="148" t="s">
        <v>1141</v>
      </c>
      <c r="AJ1" s="148" t="s">
        <v>1142</v>
      </c>
      <c r="AK1" s="148" t="s">
        <v>1143</v>
      </c>
      <c r="AL1" s="148" t="s">
        <v>1144</v>
      </c>
      <c r="AM1" s="148" t="s">
        <v>1145</v>
      </c>
      <c r="AN1" s="148" t="s">
        <v>1146</v>
      </c>
      <c r="AO1" s="148" t="s">
        <v>1147</v>
      </c>
      <c r="AP1" s="148" t="s">
        <v>1148</v>
      </c>
      <c r="AQ1" s="148" t="s">
        <v>1149</v>
      </c>
      <c r="AR1" s="148" t="s">
        <v>1150</v>
      </c>
      <c r="AS1" s="148" t="s">
        <v>1151</v>
      </c>
      <c r="AT1" s="148" t="s">
        <v>1152</v>
      </c>
      <c r="AU1" s="148" t="s">
        <v>1153</v>
      </c>
      <c r="AV1" s="148" t="s">
        <v>1154</v>
      </c>
      <c r="AW1" s="149" t="s">
        <v>1155</v>
      </c>
    </row>
    <row r="2" spans="1:49" ht="60" customHeight="1" outlineLevel="1" x14ac:dyDescent="0.35">
      <c r="A2" s="141" t="s">
        <v>2060</v>
      </c>
      <c r="B2" s="127"/>
      <c r="C2" s="126" t="s">
        <v>2061</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2060</v>
      </c>
      <c r="B3" s="128" t="s">
        <v>1326</v>
      </c>
      <c r="C3" s="129" t="s">
        <v>2062</v>
      </c>
      <c r="D3" s="131" t="s">
        <v>2063</v>
      </c>
      <c r="E3" s="131" t="s">
        <v>2064</v>
      </c>
      <c r="F3" s="131" t="s">
        <v>2065</v>
      </c>
      <c r="G3" s="131" t="s">
        <v>2066</v>
      </c>
      <c r="H3" s="131" t="s">
        <v>2067</v>
      </c>
      <c r="I3" s="133">
        <f>IF(COUNTIF(J3:AW3,"&lt;&gt;")=0,"",SUMPRODUCT(((Recommendations[ImplStatus]="Implemented")+(Recommendations[ImplStatus]="Compensated"))*ISNUMBER(MATCH(Recommendations[Id],J3:AW3,0)))/COUNTIF(J3:AW3,"&lt;&gt;"))</f>
        <v>0</v>
      </c>
      <c r="J3" s="135" t="s">
        <v>25</v>
      </c>
      <c r="K3" s="135" t="s">
        <v>31</v>
      </c>
      <c r="L3" s="135" t="s">
        <v>398</v>
      </c>
      <c r="M3" s="135" t="s">
        <v>490</v>
      </c>
      <c r="N3" s="135" t="s">
        <v>590</v>
      </c>
      <c r="O3" s="135" t="s">
        <v>613</v>
      </c>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2060</v>
      </c>
      <c r="B4" s="128" t="s">
        <v>2068</v>
      </c>
      <c r="C4" s="129" t="s">
        <v>2069</v>
      </c>
      <c r="D4" s="131" t="s">
        <v>2070</v>
      </c>
      <c r="E4" s="131" t="s">
        <v>2071</v>
      </c>
      <c r="F4" s="131" t="s">
        <v>2072</v>
      </c>
      <c r="G4" s="131" t="s">
        <v>2073</v>
      </c>
      <c r="H4" s="131" t="s">
        <v>2074</v>
      </c>
      <c r="I4" s="133">
        <f>IF(COUNTIF(J4:AW4,"&lt;&gt;")=0,"",SUMPRODUCT(((Recommendations[ImplStatus]="Implemented")+(Recommendations[ImplStatus]="Compensated"))*ISNUMBER(MATCH(Recommendations[Id],J4:AW4,0)))/COUNTIF(J4:AW4,"&lt;&gt;"))</f>
        <v>0</v>
      </c>
      <c r="J4" s="135" t="s">
        <v>14</v>
      </c>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2060</v>
      </c>
      <c r="B5" s="128" t="s">
        <v>2075</v>
      </c>
      <c r="C5" s="129" t="s">
        <v>2076</v>
      </c>
      <c r="D5" s="131" t="s">
        <v>2077</v>
      </c>
      <c r="E5" s="131" t="s">
        <v>2078</v>
      </c>
      <c r="F5" s="131" t="s">
        <v>2079</v>
      </c>
      <c r="G5" s="131" t="s">
        <v>2080</v>
      </c>
      <c r="H5" s="131" t="s">
        <v>2081</v>
      </c>
      <c r="I5" s="133" t="str">
        <f>IF(COUNTIF(J5:AW5,"&lt;&gt;")=0,"",SUMPRODUCT(((Recommendations[ImplStatus]="Implemented")+(Recommendations[ImplStatus]="Compensated"))*ISNUMBER(MATCH(Recommendations[Id],J5:AW5,0)))/COUNTIF(J5:AW5,"&lt;&gt;"))</f>
        <v/>
      </c>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2060</v>
      </c>
      <c r="B6" s="128" t="s">
        <v>2082</v>
      </c>
      <c r="C6" s="129" t="s">
        <v>2083</v>
      </c>
      <c r="D6" s="131" t="s">
        <v>2084</v>
      </c>
      <c r="E6" s="131" t="s">
        <v>2085</v>
      </c>
      <c r="F6" s="131" t="s">
        <v>2086</v>
      </c>
      <c r="G6" s="131" t="s">
        <v>2087</v>
      </c>
      <c r="H6" s="131" t="s">
        <v>2088</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2060</v>
      </c>
      <c r="B7" s="128" t="s">
        <v>2089</v>
      </c>
      <c r="C7" s="129" t="s">
        <v>2090</v>
      </c>
      <c r="D7" s="131" t="s">
        <v>2091</v>
      </c>
      <c r="E7" s="131" t="s">
        <v>2092</v>
      </c>
      <c r="F7" s="131" t="s">
        <v>2093</v>
      </c>
      <c r="G7" s="131" t="s">
        <v>2094</v>
      </c>
      <c r="H7" s="131" t="s">
        <v>2095</v>
      </c>
      <c r="I7" s="133">
        <f>IF(COUNTIF(J7:AW7,"&lt;&gt;")=0,"",SUMPRODUCT(((Recommendations[ImplStatus]="Implemented")+(Recommendations[ImplStatus]="Compensated"))*ISNUMBER(MATCH(Recommendations[Id],J7:AW7,0)))/COUNTIF(J7:AW7,"&lt;&gt;"))</f>
        <v>0</v>
      </c>
      <c r="J7" s="135" t="s">
        <v>14</v>
      </c>
      <c r="K7" s="135" t="s">
        <v>348</v>
      </c>
      <c r="L7" s="135" t="s">
        <v>398</v>
      </c>
      <c r="M7" s="135" t="s">
        <v>470</v>
      </c>
      <c r="N7" s="135" t="s">
        <v>495</v>
      </c>
      <c r="O7" s="135" t="s">
        <v>520</v>
      </c>
      <c r="P7" s="135" t="s">
        <v>525</v>
      </c>
      <c r="Q7" s="135" t="s">
        <v>590</v>
      </c>
      <c r="R7" s="135" t="s">
        <v>613</v>
      </c>
      <c r="S7" s="135" t="s">
        <v>644</v>
      </c>
      <c r="T7" s="135" t="s">
        <v>649</v>
      </c>
      <c r="U7" s="135" t="s">
        <v>674</v>
      </c>
      <c r="V7" s="135" t="s">
        <v>840</v>
      </c>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2060</v>
      </c>
      <c r="B8" s="128" t="s">
        <v>2096</v>
      </c>
      <c r="C8" s="129" t="s">
        <v>2097</v>
      </c>
      <c r="D8" s="131" t="s">
        <v>2098</v>
      </c>
      <c r="E8" s="131" t="s">
        <v>2099</v>
      </c>
      <c r="F8" s="131" t="s">
        <v>2100</v>
      </c>
      <c r="G8" s="131" t="s">
        <v>2094</v>
      </c>
      <c r="H8" s="131" t="s">
        <v>2101</v>
      </c>
      <c r="I8" s="133">
        <f>IF(COUNTIF(J8:AW8,"&lt;&gt;")=0,"",SUMPRODUCT(((Recommendations[ImplStatus]="Implemented")+(Recommendations[ImplStatus]="Compensated"))*ISNUMBER(MATCH(Recommendations[Id],J8:AW8,0)))/COUNTIF(J8:AW8,"&lt;&gt;"))</f>
        <v>0</v>
      </c>
      <c r="J8" s="135" t="s">
        <v>84</v>
      </c>
      <c r="K8" s="135" t="s">
        <v>208</v>
      </c>
      <c r="L8" s="135" t="s">
        <v>418</v>
      </c>
      <c r="M8" s="135" t="s">
        <v>510</v>
      </c>
      <c r="N8" s="135" t="s">
        <v>644</v>
      </c>
      <c r="O8" s="135" t="s">
        <v>649</v>
      </c>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2060</v>
      </c>
      <c r="B9" s="128" t="s">
        <v>2102</v>
      </c>
      <c r="C9" s="129" t="s">
        <v>2103</v>
      </c>
      <c r="D9" s="131" t="s">
        <v>2104</v>
      </c>
      <c r="E9" s="131" t="s">
        <v>2105</v>
      </c>
      <c r="F9" s="131" t="s">
        <v>2106</v>
      </c>
      <c r="G9" s="131" t="s">
        <v>2107</v>
      </c>
      <c r="H9" s="131" t="s">
        <v>2108</v>
      </c>
      <c r="I9" s="133">
        <f>IF(COUNTIF(J9:AW9,"&lt;&gt;")=0,"",SUMPRODUCT(((Recommendations[ImplStatus]="Implemented")+(Recommendations[ImplStatus]="Compensated"))*ISNUMBER(MATCH(Recommendations[Id],J9:AW9,0)))/COUNTIF(J9:AW9,"&lt;&gt;"))</f>
        <v>0</v>
      </c>
      <c r="J9" s="135" t="s">
        <v>815</v>
      </c>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2060</v>
      </c>
      <c r="B10" s="128" t="s">
        <v>2109</v>
      </c>
      <c r="C10" s="129" t="s">
        <v>2110</v>
      </c>
      <c r="D10" s="131" t="s">
        <v>2111</v>
      </c>
      <c r="E10" s="131" t="s">
        <v>2112</v>
      </c>
      <c r="F10" s="131" t="s">
        <v>2113</v>
      </c>
      <c r="G10" s="131" t="s">
        <v>2114</v>
      </c>
      <c r="H10" s="131" t="s">
        <v>2115</v>
      </c>
      <c r="I10" s="133">
        <f>IF(COUNTIF(J10:AW10,"&lt;&gt;")=0,"",SUMPRODUCT(((Recommendations[ImplStatus]="Implemented")+(Recommendations[ImplStatus]="Compensated"))*ISNUMBER(MATCH(Recommendations[Id],J10:AW10,0)))/COUNTIF(J10:AW10,"&lt;&gt;"))</f>
        <v>0</v>
      </c>
      <c r="J10" s="135" t="s">
        <v>41</v>
      </c>
      <c r="K10" s="135" t="s">
        <v>46</v>
      </c>
      <c r="L10" s="135" t="s">
        <v>565</v>
      </c>
      <c r="M10" s="135" t="s">
        <v>569</v>
      </c>
      <c r="N10" s="135" t="s">
        <v>573</v>
      </c>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2060</v>
      </c>
      <c r="B11" s="128" t="s">
        <v>2116</v>
      </c>
      <c r="C11" s="129" t="s">
        <v>2117</v>
      </c>
      <c r="D11" s="131" t="s">
        <v>2118</v>
      </c>
      <c r="E11" s="131" t="s">
        <v>2119</v>
      </c>
      <c r="F11" s="131" t="s">
        <v>2120</v>
      </c>
      <c r="G11" s="131" t="s">
        <v>2121</v>
      </c>
      <c r="H11" s="131" t="s">
        <v>2122</v>
      </c>
      <c r="I11" s="133">
        <f>IF(COUNTIF(J11:AW11,"&lt;&gt;")=0,"",SUMPRODUCT(((Recommendations[ImplStatus]="Implemented")+(Recommendations[ImplStatus]="Compensated"))*ISNUMBER(MATCH(Recommendations[Id],J11:AW11,0)))/COUNTIF(J11:AW11,"&lt;&gt;"))</f>
        <v>0</v>
      </c>
      <c r="J11" s="135" t="s">
        <v>50</v>
      </c>
      <c r="K11" s="135" t="s">
        <v>55</v>
      </c>
      <c r="L11" s="135" t="s">
        <v>58</v>
      </c>
      <c r="M11" s="135" t="s">
        <v>639</v>
      </c>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2060</v>
      </c>
      <c r="B12" s="128" t="s">
        <v>2123</v>
      </c>
      <c r="C12" s="129" t="s">
        <v>2124</v>
      </c>
      <c r="D12" s="131" t="s">
        <v>2125</v>
      </c>
      <c r="E12" s="131" t="s">
        <v>2126</v>
      </c>
      <c r="F12" s="131" t="s">
        <v>2127</v>
      </c>
      <c r="G12" s="131" t="s">
        <v>2114</v>
      </c>
      <c r="H12" s="131" t="s">
        <v>2128</v>
      </c>
      <c r="I12" s="133">
        <f>IF(COUNTIF(J12:AW12,"&lt;&gt;")=0,"",SUMPRODUCT(((Recommendations[ImplStatus]="Implemented")+(Recommendations[ImplStatus]="Compensated"))*ISNUMBER(MATCH(Recommendations[Id],J12:AW12,0)))/COUNTIF(J12:AW12,"&lt;&gt;"))</f>
        <v>0</v>
      </c>
      <c r="J12" s="135" t="s">
        <v>144</v>
      </c>
      <c r="K12" s="135" t="s">
        <v>149</v>
      </c>
      <c r="L12" s="135" t="s">
        <v>218</v>
      </c>
      <c r="M12" s="135" t="s">
        <v>223</v>
      </c>
      <c r="N12" s="135" t="s">
        <v>228</v>
      </c>
      <c r="O12" s="135" t="s">
        <v>393</v>
      </c>
      <c r="P12" s="135" t="s">
        <v>845</v>
      </c>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2060</v>
      </c>
      <c r="B13" s="128" t="s">
        <v>2129</v>
      </c>
      <c r="C13" s="129" t="s">
        <v>2130</v>
      </c>
      <c r="D13" s="131" t="s">
        <v>2131</v>
      </c>
      <c r="E13" s="131" t="s">
        <v>2132</v>
      </c>
      <c r="F13" s="131" t="s">
        <v>2133</v>
      </c>
      <c r="G13" s="131" t="s">
        <v>2114</v>
      </c>
      <c r="H13" s="131" t="s">
        <v>2134</v>
      </c>
      <c r="I13" s="133">
        <f>IF(COUNTIF(J13:AW13,"&lt;&gt;")=0,"",SUMPRODUCT(((Recommendations[ImplStatus]="Implemented")+(Recommendations[ImplStatus]="Compensated"))*ISNUMBER(MATCH(Recommendations[Id],J13:AW13,0)))/COUNTIF(J13:AW13,"&lt;&gt;"))</f>
        <v>0</v>
      </c>
      <c r="J13" s="135" t="s">
        <v>144</v>
      </c>
      <c r="K13" s="135" t="s">
        <v>149</v>
      </c>
      <c r="L13" s="135" t="s">
        <v>218</v>
      </c>
      <c r="M13" s="135" t="s">
        <v>223</v>
      </c>
      <c r="N13" s="135" t="s">
        <v>228</v>
      </c>
      <c r="O13" s="135" t="s">
        <v>383</v>
      </c>
      <c r="P13" s="135" t="s">
        <v>393</v>
      </c>
      <c r="Q13" s="135" t="s">
        <v>800</v>
      </c>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2060</v>
      </c>
      <c r="B14" s="128" t="s">
        <v>2135</v>
      </c>
      <c r="C14" s="129" t="s">
        <v>2136</v>
      </c>
      <c r="D14" s="131" t="s">
        <v>2137</v>
      </c>
      <c r="E14" s="131" t="s">
        <v>2138</v>
      </c>
      <c r="F14" s="131" t="s">
        <v>2139</v>
      </c>
      <c r="G14" s="131" t="s">
        <v>2140</v>
      </c>
      <c r="H14" s="131" t="s">
        <v>2141</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2060</v>
      </c>
      <c r="B15" s="128" t="s">
        <v>2142</v>
      </c>
      <c r="C15" s="129" t="s">
        <v>2143</v>
      </c>
      <c r="D15" s="131" t="s">
        <v>2144</v>
      </c>
      <c r="E15" s="131" t="s">
        <v>2145</v>
      </c>
      <c r="F15" s="131" t="s">
        <v>2146</v>
      </c>
      <c r="G15" s="131" t="s">
        <v>2147</v>
      </c>
      <c r="H15" s="131" t="s">
        <v>2148</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2060</v>
      </c>
      <c r="B16" s="128" t="s">
        <v>2149</v>
      </c>
      <c r="C16" s="129" t="s">
        <v>2150</v>
      </c>
      <c r="D16" s="131" t="s">
        <v>2151</v>
      </c>
      <c r="E16" s="131" t="s">
        <v>2152</v>
      </c>
      <c r="F16" s="131" t="s">
        <v>2153</v>
      </c>
      <c r="G16" s="131" t="s">
        <v>2154</v>
      </c>
      <c r="H16" s="131" t="s">
        <v>2155</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2060</v>
      </c>
      <c r="B17" s="128" t="s">
        <v>2156</v>
      </c>
      <c r="C17" s="129" t="s">
        <v>2157</v>
      </c>
      <c r="D17" s="131" t="s">
        <v>2158</v>
      </c>
      <c r="E17" s="131" t="s">
        <v>2159</v>
      </c>
      <c r="F17" s="131" t="s">
        <v>2160</v>
      </c>
      <c r="G17" s="131" t="s">
        <v>2161</v>
      </c>
      <c r="H17" s="131" t="s">
        <v>2162</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2060</v>
      </c>
      <c r="B18" s="128" t="s">
        <v>2163</v>
      </c>
      <c r="C18" s="129" t="s">
        <v>2164</v>
      </c>
      <c r="D18" s="131" t="s">
        <v>2165</v>
      </c>
      <c r="E18" s="131" t="s">
        <v>2166</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2167</v>
      </c>
      <c r="B19" s="127"/>
      <c r="C19" s="126" t="s">
        <v>2168</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2167</v>
      </c>
      <c r="B20" s="128" t="s">
        <v>2169</v>
      </c>
      <c r="C20" s="129" t="s">
        <v>2170</v>
      </c>
      <c r="D20" s="131" t="s">
        <v>2171</v>
      </c>
      <c r="E20" s="131" t="s">
        <v>2172</v>
      </c>
      <c r="F20" s="131" t="s">
        <v>2173</v>
      </c>
      <c r="G20" s="131" t="s">
        <v>2174</v>
      </c>
      <c r="H20" s="131" t="s">
        <v>2175</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2167</v>
      </c>
      <c r="B21" s="128" t="s">
        <v>2176</v>
      </c>
      <c r="C21" s="129" t="s">
        <v>2177</v>
      </c>
      <c r="D21" s="131" t="s">
        <v>2178</v>
      </c>
      <c r="E21" s="131" t="s">
        <v>2179</v>
      </c>
      <c r="F21" s="131" t="s">
        <v>2180</v>
      </c>
      <c r="G21" s="131" t="s">
        <v>2181</v>
      </c>
      <c r="H21" s="131" t="s">
        <v>2182</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2183</v>
      </c>
      <c r="B22" s="127"/>
      <c r="C22" s="126" t="s">
        <v>2184</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2183</v>
      </c>
      <c r="B23" s="128" t="s">
        <v>2185</v>
      </c>
      <c r="C23" s="129" t="s">
        <v>2186</v>
      </c>
      <c r="D23" s="131" t="s">
        <v>2187</v>
      </c>
      <c r="E23" s="131" t="s">
        <v>2188</v>
      </c>
      <c r="F23" s="131" t="s">
        <v>2189</v>
      </c>
      <c r="G23" s="131" t="s">
        <v>2190</v>
      </c>
      <c r="H23" s="131" t="s">
        <v>2191</v>
      </c>
      <c r="I23" s="133">
        <f>IF(COUNTIF(J23:AW23,"&lt;&gt;")=0,"",SUMPRODUCT(((Recommendations[ImplStatus]="Implemented")+(Recommendations[ImplStatus]="Compensated"))*ISNUMBER(MATCH(Recommendations[Id],J23:AW23,0)))/COUNTIF(J23:AW23,"&lt;&gt;"))</f>
        <v>0</v>
      </c>
      <c r="J23" s="135" t="s">
        <v>36</v>
      </c>
      <c r="K23" s="135" t="s">
        <v>164</v>
      </c>
      <c r="L23" s="135" t="s">
        <v>238</v>
      </c>
      <c r="M23" s="135" t="s">
        <v>540</v>
      </c>
      <c r="N23" s="135" t="s">
        <v>577</v>
      </c>
      <c r="O23" s="135" t="s">
        <v>582</v>
      </c>
      <c r="P23" s="135" t="s">
        <v>586</v>
      </c>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2183</v>
      </c>
      <c r="B24" s="128" t="s">
        <v>2192</v>
      </c>
      <c r="C24" s="129" t="s">
        <v>2193</v>
      </c>
      <c r="D24" s="131" t="s">
        <v>2194</v>
      </c>
      <c r="E24" s="131" t="s">
        <v>2195</v>
      </c>
      <c r="F24" s="131" t="s">
        <v>2196</v>
      </c>
      <c r="G24" s="131" t="s">
        <v>2197</v>
      </c>
      <c r="H24" s="131" t="s">
        <v>2198</v>
      </c>
      <c r="I24" s="133">
        <f>IF(COUNTIF(J24:AW24,"&lt;&gt;")=0,"",SUMPRODUCT(((Recommendations[ImplStatus]="Implemented")+(Recommendations[ImplStatus]="Compensated"))*ISNUMBER(MATCH(Recommendations[Id],J24:AW24,0)))/COUNTIF(J24:AW24,"&lt;&gt;"))</f>
        <v>0</v>
      </c>
      <c r="J24" s="135" t="s">
        <v>164</v>
      </c>
      <c r="K24" s="135" t="s">
        <v>540</v>
      </c>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2183</v>
      </c>
      <c r="B25" s="128" t="s">
        <v>2199</v>
      </c>
      <c r="C25" s="129" t="s">
        <v>2200</v>
      </c>
      <c r="D25" s="131" t="s">
        <v>2201</v>
      </c>
      <c r="E25" s="131" t="s">
        <v>2202</v>
      </c>
      <c r="F25" s="131" t="s">
        <v>2203</v>
      </c>
      <c r="G25" s="131" t="s">
        <v>2204</v>
      </c>
      <c r="H25" s="131" t="s">
        <v>2205</v>
      </c>
      <c r="I25" s="133">
        <f>IF(COUNTIF(J25:AW25,"&lt;&gt;")=0,"",SUMPRODUCT(((Recommendations[ImplStatus]="Implemented")+(Recommendations[ImplStatus]="Compensated"))*ISNUMBER(MATCH(Recommendations[Id],J25:AW25,0)))/COUNTIF(J25:AW25,"&lt;&gt;"))</f>
        <v>0</v>
      </c>
      <c r="J25" s="135" t="s">
        <v>36</v>
      </c>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2183</v>
      </c>
      <c r="B26" s="128" t="s">
        <v>2206</v>
      </c>
      <c r="C26" s="129" t="s">
        <v>2207</v>
      </c>
      <c r="D26" s="131" t="s">
        <v>2208</v>
      </c>
      <c r="E26" s="131" t="s">
        <v>2209</v>
      </c>
      <c r="F26" s="131" t="s">
        <v>2210</v>
      </c>
      <c r="G26" s="131" t="s">
        <v>2197</v>
      </c>
      <c r="H26" s="131" t="s">
        <v>2211</v>
      </c>
      <c r="I26" s="133">
        <f>IF(COUNTIF(J26:AW26,"&lt;&gt;")=0,"",SUMPRODUCT(((Recommendations[ImplStatus]="Implemented")+(Recommendations[ImplStatus]="Compensated"))*ISNUMBER(MATCH(Recommendations[Id],J26:AW26,0)))/COUNTIF(J26:AW26,"&lt;&gt;"))</f>
        <v>0</v>
      </c>
      <c r="J26" s="135" t="s">
        <v>408</v>
      </c>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2183</v>
      </c>
      <c r="B27" s="128" t="s">
        <v>2212</v>
      </c>
      <c r="C27" s="129" t="s">
        <v>2213</v>
      </c>
      <c r="D27" s="131" t="s">
        <v>2214</v>
      </c>
      <c r="E27" s="131" t="s">
        <v>2215</v>
      </c>
      <c r="F27" s="131" t="s">
        <v>2216</v>
      </c>
      <c r="G27" s="131" t="s">
        <v>2217</v>
      </c>
      <c r="H27" s="131" t="s">
        <v>2218</v>
      </c>
      <c r="I27" s="133">
        <f>IF(COUNTIF(J27:AW27,"&lt;&gt;")=0,"",SUMPRODUCT(((Recommendations[ImplStatus]="Implemented")+(Recommendations[ImplStatus]="Compensated"))*ISNUMBER(MATCH(Recommendations[Id],J27:AW27,0)))/COUNTIF(J27:AW27,"&lt;&gt;"))</f>
        <v>0</v>
      </c>
      <c r="J27" s="135" t="s">
        <v>505</v>
      </c>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2183</v>
      </c>
      <c r="B28" s="128" t="s">
        <v>2219</v>
      </c>
      <c r="C28" s="129" t="s">
        <v>2220</v>
      </c>
      <c r="D28" s="131" t="s">
        <v>2221</v>
      </c>
      <c r="E28" s="131" t="s">
        <v>2222</v>
      </c>
      <c r="F28" s="131" t="s">
        <v>2223</v>
      </c>
      <c r="G28" s="131" t="s">
        <v>2224</v>
      </c>
      <c r="H28" s="131" t="s">
        <v>2225</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2183</v>
      </c>
      <c r="B29" s="128" t="s">
        <v>2226</v>
      </c>
      <c r="C29" s="129" t="s">
        <v>2227</v>
      </c>
      <c r="D29" s="131" t="s">
        <v>2228</v>
      </c>
      <c r="E29" s="131" t="s">
        <v>2229</v>
      </c>
      <c r="F29" s="131" t="s">
        <v>2230</v>
      </c>
      <c r="G29" s="131" t="s">
        <v>2114</v>
      </c>
      <c r="H29" s="131" t="s">
        <v>2231</v>
      </c>
      <c r="I29" s="133">
        <f>IF(COUNTIF(J29:AW29,"&lt;&gt;")=0,"",SUMPRODUCT(((Recommendations[ImplStatus]="Implemented")+(Recommendations[ImplStatus]="Compensated"))*ISNUMBER(MATCH(Recommendations[Id],J29:AW29,0)))/COUNTIF(J29:AW29,"&lt;&gt;"))</f>
        <v>0</v>
      </c>
      <c r="J29" s="135" t="s">
        <v>243</v>
      </c>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2183</v>
      </c>
      <c r="B30" s="128" t="s">
        <v>2232</v>
      </c>
      <c r="C30" s="129" t="s">
        <v>2233</v>
      </c>
      <c r="D30" s="131" t="s">
        <v>2234</v>
      </c>
      <c r="E30" s="131" t="s">
        <v>2235</v>
      </c>
      <c r="F30" s="131" t="s">
        <v>2236</v>
      </c>
      <c r="G30" s="131" t="s">
        <v>2197</v>
      </c>
      <c r="H30" s="131" t="s">
        <v>2237</v>
      </c>
      <c r="I30" s="133">
        <f>IF(COUNTIF(J30:AW30,"&lt;&gt;")=0,"",SUMPRODUCT(((Recommendations[ImplStatus]="Implemented")+(Recommendations[ImplStatus]="Compensated"))*ISNUMBER(MATCH(Recommendations[Id],J30:AW30,0)))/COUNTIF(J30:AW30,"&lt;&gt;"))</f>
        <v>0</v>
      </c>
      <c r="J30" s="135" t="s">
        <v>712</v>
      </c>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2238</v>
      </c>
      <c r="B31" s="127"/>
      <c r="C31" s="126" t="s">
        <v>2239</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2238</v>
      </c>
      <c r="B32" s="128" t="s">
        <v>2240</v>
      </c>
      <c r="C32" s="129" t="s">
        <v>2241</v>
      </c>
      <c r="D32" s="131" t="s">
        <v>2242</v>
      </c>
      <c r="E32" s="131" t="s">
        <v>2243</v>
      </c>
      <c r="F32" s="131" t="s">
        <v>2244</v>
      </c>
      <c r="G32" s="131" t="s">
        <v>2245</v>
      </c>
      <c r="H32" s="131" t="s">
        <v>2246</v>
      </c>
      <c r="I32" s="133">
        <f>IF(COUNTIF(J32:AW32,"&lt;&gt;")=0,"",SUMPRODUCT(((Recommendations[ImplStatus]="Implemented")+(Recommendations[ImplStatus]="Compensated"))*ISNUMBER(MATCH(Recommendations[Id],J32:AW32,0)))/COUNTIF(J32:AW32,"&lt;&gt;"))</f>
        <v>0</v>
      </c>
      <c r="J32" s="135" t="s">
        <v>363</v>
      </c>
      <c r="K32" s="135" t="s">
        <v>835</v>
      </c>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2238</v>
      </c>
      <c r="B33" s="128" t="s">
        <v>2247</v>
      </c>
      <c r="C33" s="129" t="s">
        <v>2248</v>
      </c>
      <c r="D33" s="131" t="s">
        <v>2249</v>
      </c>
      <c r="E33" s="131" t="s">
        <v>2250</v>
      </c>
      <c r="F33" s="131" t="s">
        <v>2251</v>
      </c>
      <c r="G33" s="131" t="s">
        <v>2252</v>
      </c>
      <c r="H33" s="131" t="s">
        <v>2253</v>
      </c>
      <c r="I33" s="133">
        <f>IF(COUNTIF(J33:AW33,"&lt;&gt;")=0,"",SUMPRODUCT(((Recommendations[ImplStatus]="Implemented")+(Recommendations[ImplStatus]="Compensated"))*ISNUMBER(MATCH(Recommendations[Id],J33:AW33,0)))/COUNTIF(J33:AW33,"&lt;&gt;"))</f>
        <v>0</v>
      </c>
      <c r="J33" s="135" t="s">
        <v>68</v>
      </c>
      <c r="K33" s="135" t="s">
        <v>74</v>
      </c>
      <c r="L33" s="135" t="s">
        <v>79</v>
      </c>
      <c r="M33" s="135" t="s">
        <v>94</v>
      </c>
      <c r="N33" s="135" t="s">
        <v>104</v>
      </c>
      <c r="O33" s="135" t="s">
        <v>109</v>
      </c>
      <c r="P33" s="135" t="s">
        <v>114</v>
      </c>
      <c r="Q33" s="135" t="s">
        <v>119</v>
      </c>
      <c r="R33" s="135" t="s">
        <v>124</v>
      </c>
      <c r="S33" s="135" t="s">
        <v>129</v>
      </c>
      <c r="T33" s="135" t="s">
        <v>134</v>
      </c>
      <c r="U33" s="135" t="s">
        <v>139</v>
      </c>
      <c r="V33" s="135" t="s">
        <v>154</v>
      </c>
      <c r="W33" s="135" t="s">
        <v>268</v>
      </c>
      <c r="X33" s="135" t="s">
        <v>293</v>
      </c>
      <c r="Y33" s="135" t="s">
        <v>333</v>
      </c>
      <c r="Z33" s="135" t="s">
        <v>338</v>
      </c>
      <c r="AA33" s="135" t="s">
        <v>448</v>
      </c>
      <c r="AB33" s="135" t="s">
        <v>810</v>
      </c>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2238</v>
      </c>
      <c r="B34" s="128" t="s">
        <v>2254</v>
      </c>
      <c r="C34" s="129" t="s">
        <v>2255</v>
      </c>
      <c r="D34" s="131" t="s">
        <v>2256</v>
      </c>
      <c r="E34" s="131" t="s">
        <v>2257</v>
      </c>
      <c r="F34" s="131" t="s">
        <v>2258</v>
      </c>
      <c r="G34" s="131" t="s">
        <v>2259</v>
      </c>
      <c r="H34" s="131" t="s">
        <v>2260</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2238</v>
      </c>
      <c r="B35" s="128" t="s">
        <v>2261</v>
      </c>
      <c r="C35" s="129" t="s">
        <v>2262</v>
      </c>
      <c r="D35" s="131" t="s">
        <v>2263</v>
      </c>
      <c r="E35" s="131" t="s">
        <v>2264</v>
      </c>
      <c r="F35" s="131" t="s">
        <v>2265</v>
      </c>
      <c r="G35" s="131" t="s">
        <v>2266</v>
      </c>
      <c r="H35" s="131" t="s">
        <v>2267</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2238</v>
      </c>
      <c r="B36" s="128" t="s">
        <v>2268</v>
      </c>
      <c r="C36" s="129" t="s">
        <v>2269</v>
      </c>
      <c r="D36" s="131" t="s">
        <v>2270</v>
      </c>
      <c r="E36" s="131" t="s">
        <v>2271</v>
      </c>
      <c r="F36" s="131" t="s">
        <v>2272</v>
      </c>
      <c r="G36" s="131" t="s">
        <v>2273</v>
      </c>
      <c r="H36" s="131" t="s">
        <v>2274</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2238</v>
      </c>
      <c r="B37" s="128" t="s">
        <v>2275</v>
      </c>
      <c r="C37" s="129" t="s">
        <v>2276</v>
      </c>
      <c r="D37" s="131" t="s">
        <v>2277</v>
      </c>
      <c r="E37" s="131" t="s">
        <v>2278</v>
      </c>
      <c r="F37" s="131" t="s">
        <v>2279</v>
      </c>
      <c r="G37" s="131" t="s">
        <v>2280</v>
      </c>
      <c r="H37" s="131" t="s">
        <v>2281</v>
      </c>
      <c r="I37" s="133">
        <f>IF(COUNTIF(J37:AW37,"&lt;&gt;")=0,"",SUMPRODUCT(((Recommendations[ImplStatus]="Implemented")+(Recommendations[ImplStatus]="Compensated"))*ISNUMBER(MATCH(Recommendations[Id],J37:AW37,0)))/COUNTIF(J37:AW37,"&lt;&gt;"))</f>
        <v>0</v>
      </c>
      <c r="J37" s="135" t="s">
        <v>183</v>
      </c>
      <c r="K37" s="135" t="s">
        <v>188</v>
      </c>
      <c r="L37" s="135" t="s">
        <v>193</v>
      </c>
      <c r="M37" s="135" t="s">
        <v>313</v>
      </c>
      <c r="N37" s="135" t="s">
        <v>423</v>
      </c>
      <c r="O37" s="135" t="s">
        <v>485</v>
      </c>
      <c r="P37" s="135" t="s">
        <v>634</v>
      </c>
      <c r="Q37" s="135" t="s">
        <v>664</v>
      </c>
      <c r="R37" s="135" t="s">
        <v>679</v>
      </c>
      <c r="S37" s="135" t="s">
        <v>702</v>
      </c>
      <c r="T37" s="135" t="s">
        <v>707</v>
      </c>
      <c r="U37" s="135" t="s">
        <v>717</v>
      </c>
      <c r="V37" s="135" t="s">
        <v>722</v>
      </c>
      <c r="W37" s="135" t="s">
        <v>727</v>
      </c>
      <c r="X37" s="135" t="s">
        <v>731</v>
      </c>
      <c r="Y37" s="135" t="s">
        <v>735</v>
      </c>
      <c r="Z37" s="135" t="s">
        <v>739</v>
      </c>
      <c r="AA37" s="135" t="s">
        <v>743</v>
      </c>
      <c r="AB37" s="135" t="s">
        <v>747</v>
      </c>
      <c r="AC37" s="135" t="s">
        <v>751</v>
      </c>
      <c r="AD37" s="135" t="s">
        <v>755</v>
      </c>
      <c r="AE37" s="135" t="s">
        <v>759</v>
      </c>
      <c r="AF37" s="135" t="s">
        <v>763</v>
      </c>
      <c r="AG37" s="135" t="s">
        <v>767</v>
      </c>
      <c r="AH37" s="135" t="s">
        <v>771</v>
      </c>
      <c r="AI37" s="135" t="s">
        <v>775</v>
      </c>
      <c r="AJ37" s="135" t="s">
        <v>779</v>
      </c>
      <c r="AK37" s="135" t="s">
        <v>784</v>
      </c>
      <c r="AL37" s="135" t="s">
        <v>788</v>
      </c>
      <c r="AM37" s="135" t="s">
        <v>792</v>
      </c>
      <c r="AN37" s="135" t="s">
        <v>796</v>
      </c>
      <c r="AO37" s="135" t="s">
        <v>805</v>
      </c>
      <c r="AP37" s="135" t="s">
        <v>830</v>
      </c>
      <c r="AQ37" s="135" t="s">
        <v>850</v>
      </c>
      <c r="AR37" s="135"/>
      <c r="AS37" s="135"/>
      <c r="AT37" s="135"/>
      <c r="AU37" s="135"/>
      <c r="AV37" s="135"/>
      <c r="AW37" s="145"/>
    </row>
    <row r="38" spans="1:49" ht="60" customHeight="1" x14ac:dyDescent="0.35">
      <c r="A38" s="142" t="s">
        <v>2238</v>
      </c>
      <c r="B38" s="128" t="s">
        <v>2282</v>
      </c>
      <c r="C38" s="129" t="s">
        <v>2283</v>
      </c>
      <c r="D38" s="131" t="s">
        <v>2284</v>
      </c>
      <c r="E38" s="131" t="s">
        <v>2285</v>
      </c>
      <c r="F38" s="131" t="s">
        <v>2286</v>
      </c>
      <c r="G38" s="131" t="s">
        <v>2287</v>
      </c>
      <c r="H38" s="131" t="s">
        <v>2288</v>
      </c>
      <c r="I38" s="133">
        <f>IF(COUNTIF(J38:AW38,"&lt;&gt;")=0,"",SUMPRODUCT(((Recommendations[ImplStatus]="Implemented")+(Recommendations[ImplStatus]="Compensated"))*ISNUMBER(MATCH(Recommendations[Id],J38:AW38,0)))/COUNTIF(J38:AW38,"&lt;&gt;"))</f>
        <v>0</v>
      </c>
      <c r="J38" s="135" t="s">
        <v>535</v>
      </c>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2238</v>
      </c>
      <c r="B39" s="128" t="s">
        <v>2289</v>
      </c>
      <c r="C39" s="129" t="s">
        <v>2290</v>
      </c>
      <c r="D39" s="131" t="s">
        <v>2291</v>
      </c>
      <c r="E39" s="131" t="s">
        <v>2292</v>
      </c>
      <c r="F39" s="131" t="s">
        <v>2293</v>
      </c>
      <c r="G39" s="131" t="s">
        <v>2294</v>
      </c>
      <c r="H39" s="131" t="s">
        <v>2295</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2238</v>
      </c>
      <c r="B40" s="128" t="s">
        <v>2296</v>
      </c>
      <c r="C40" s="129" t="s">
        <v>2297</v>
      </c>
      <c r="D40" s="131" t="s">
        <v>2298</v>
      </c>
      <c r="E40" s="131" t="s">
        <v>2299</v>
      </c>
      <c r="F40" s="131" t="s">
        <v>2300</v>
      </c>
      <c r="G40" s="131" t="s">
        <v>2301</v>
      </c>
      <c r="H40" s="131" t="s">
        <v>2302</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2238</v>
      </c>
      <c r="B41" s="128" t="s">
        <v>2303</v>
      </c>
      <c r="C41" s="129" t="s">
        <v>2304</v>
      </c>
      <c r="D41" s="131" t="s">
        <v>2305</v>
      </c>
      <c r="E41" s="131" t="s">
        <v>2306</v>
      </c>
      <c r="F41" s="131" t="s">
        <v>2307</v>
      </c>
      <c r="G41" s="131" t="s">
        <v>2245</v>
      </c>
      <c r="H41" s="131" t="s">
        <v>2308</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2309</v>
      </c>
      <c r="B42" s="127"/>
      <c r="C42" s="126" t="s">
        <v>2310</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2309</v>
      </c>
      <c r="B43" s="128" t="s">
        <v>2311</v>
      </c>
      <c r="C43" s="129" t="s">
        <v>2312</v>
      </c>
      <c r="D43" s="131" t="s">
        <v>2313</v>
      </c>
      <c r="E43" s="131" t="s">
        <v>2314</v>
      </c>
      <c r="F43" s="131" t="s">
        <v>2315</v>
      </c>
      <c r="G43" s="131" t="s">
        <v>2316</v>
      </c>
      <c r="H43" s="131" t="s">
        <v>2317</v>
      </c>
      <c r="I43" s="133">
        <f>IF(COUNTIF(J43:AW43,"&lt;&gt;")=0,"",SUMPRODUCT(((Recommendations[ImplStatus]="Implemented")+(Recommendations[ImplStatus]="Compensated"))*ISNUMBER(MATCH(Recommendations[Id],J43:AW43,0)))/COUNTIF(J43:AW43,"&lt;&gt;"))</f>
        <v>0</v>
      </c>
      <c r="J43" s="135" t="s">
        <v>89</v>
      </c>
      <c r="K43" s="135" t="s">
        <v>159</v>
      </c>
      <c r="L43" s="135" t="s">
        <v>198</v>
      </c>
      <c r="M43" s="135" t="s">
        <v>273</v>
      </c>
      <c r="N43" s="135" t="s">
        <v>373</v>
      </c>
      <c r="O43" s="135" t="s">
        <v>413</v>
      </c>
      <c r="P43" s="135" t="s">
        <v>530</v>
      </c>
      <c r="Q43" s="135" t="s">
        <v>654</v>
      </c>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2309</v>
      </c>
      <c r="B44" s="128" t="s">
        <v>2318</v>
      </c>
      <c r="C44" s="129" t="s">
        <v>2319</v>
      </c>
      <c r="D44" s="131" t="s">
        <v>2320</v>
      </c>
      <c r="E44" s="131" t="s">
        <v>2321</v>
      </c>
      <c r="F44" s="131" t="s">
        <v>2322</v>
      </c>
      <c r="G44" s="131" t="s">
        <v>2323</v>
      </c>
      <c r="H44" s="131" t="s">
        <v>2324</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2309</v>
      </c>
      <c r="B45" s="128" t="s">
        <v>2325</v>
      </c>
      <c r="C45" s="129" t="s">
        <v>2326</v>
      </c>
      <c r="D45" s="131" t="s">
        <v>2327</v>
      </c>
      <c r="E45" s="131" t="s">
        <v>2328</v>
      </c>
      <c r="F45" s="131" t="s">
        <v>2329</v>
      </c>
      <c r="G45" s="131" t="s">
        <v>2330</v>
      </c>
      <c r="H45" s="131" t="s">
        <v>2331</v>
      </c>
      <c r="I45" s="133">
        <f>IF(COUNTIF(J45:AW45,"&lt;&gt;")=0,"",SUMPRODUCT(((Recommendations[ImplStatus]="Implemented")+(Recommendations[ImplStatus]="Compensated"))*ISNUMBER(MATCH(Recommendations[Id],J45:AW45,0)))/COUNTIF(J45:AW45,"&lt;&gt;"))</f>
        <v>0</v>
      </c>
      <c r="J45" s="135" t="s">
        <v>213</v>
      </c>
      <c r="K45" s="135" t="s">
        <v>624</v>
      </c>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2309</v>
      </c>
      <c r="B46" s="128" t="s">
        <v>2332</v>
      </c>
      <c r="C46" s="129" t="s">
        <v>2333</v>
      </c>
      <c r="D46" s="131" t="s">
        <v>2334</v>
      </c>
      <c r="E46" s="131" t="s">
        <v>2335</v>
      </c>
      <c r="F46" s="131" t="s">
        <v>2336</v>
      </c>
      <c r="G46" s="131" t="s">
        <v>2330</v>
      </c>
      <c r="H46" s="131" t="s">
        <v>2337</v>
      </c>
      <c r="I46" s="133">
        <f>IF(COUNTIF(J46:AW46,"&lt;&gt;")=0,"",SUMPRODUCT(((Recommendations[ImplStatus]="Implemented")+(Recommendations[ImplStatus]="Compensated"))*ISNUMBER(MATCH(Recommendations[Id],J46:AW46,0)))/COUNTIF(J46:AW46,"&lt;&gt;"))</f>
        <v>0</v>
      </c>
      <c r="J46" s="135" t="s">
        <v>624</v>
      </c>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2309</v>
      </c>
      <c r="B47" s="128" t="s">
        <v>2338</v>
      </c>
      <c r="C47" s="129" t="s">
        <v>2339</v>
      </c>
      <c r="D47" s="131" t="s">
        <v>2340</v>
      </c>
      <c r="E47" s="131" t="s">
        <v>2341</v>
      </c>
      <c r="F47" s="131" t="s">
        <v>2342</v>
      </c>
      <c r="G47" s="131" t="s">
        <v>2343</v>
      </c>
      <c r="H47" s="131" t="s">
        <v>2344</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2309</v>
      </c>
      <c r="B48" s="128" t="s">
        <v>2345</v>
      </c>
      <c r="C48" s="129" t="s">
        <v>2346</v>
      </c>
      <c r="D48" s="131" t="s">
        <v>2347</v>
      </c>
      <c r="E48" s="131" t="s">
        <v>2348</v>
      </c>
      <c r="F48" s="131" t="s">
        <v>2349</v>
      </c>
      <c r="G48" s="131" t="s">
        <v>2350</v>
      </c>
      <c r="H48" s="131" t="s">
        <v>2351</v>
      </c>
      <c r="I48" s="133">
        <f>IF(COUNTIF(J48:AW48,"&lt;&gt;")=0,"",SUMPRODUCT(((Recommendations[ImplStatus]="Implemented")+(Recommendations[ImplStatus]="Compensated"))*ISNUMBER(MATCH(Recommendations[Id],J48:AW48,0)))/COUNTIF(J48:AW48,"&lt;&gt;"))</f>
        <v>0</v>
      </c>
      <c r="J48" s="135" t="s">
        <v>169</v>
      </c>
      <c r="K48" s="135" t="s">
        <v>174</v>
      </c>
      <c r="L48" s="135" t="s">
        <v>377</v>
      </c>
      <c r="M48" s="135" t="s">
        <v>388</v>
      </c>
      <c r="N48" s="135" t="s">
        <v>475</v>
      </c>
      <c r="O48" s="135" t="s">
        <v>480</v>
      </c>
      <c r="P48" s="135" t="s">
        <v>544</v>
      </c>
      <c r="Q48" s="135" t="s">
        <v>549</v>
      </c>
      <c r="R48" s="135" t="s">
        <v>553</v>
      </c>
      <c r="S48" s="135" t="s">
        <v>557</v>
      </c>
      <c r="T48" s="135" t="s">
        <v>561</v>
      </c>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2309</v>
      </c>
      <c r="B49" s="128" t="s">
        <v>2352</v>
      </c>
      <c r="C49" s="129" t="s">
        <v>2353</v>
      </c>
      <c r="D49" s="131" t="s">
        <v>2354</v>
      </c>
      <c r="E49" s="131" t="s">
        <v>2355</v>
      </c>
      <c r="F49" s="131" t="s">
        <v>2356</v>
      </c>
      <c r="G49" s="131" t="s">
        <v>2114</v>
      </c>
      <c r="H49" s="131" t="s">
        <v>2357</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2309</v>
      </c>
      <c r="B50" s="128" t="s">
        <v>2358</v>
      </c>
      <c r="C50" s="129" t="s">
        <v>2359</v>
      </c>
      <c r="D50" s="131" t="s">
        <v>2360</v>
      </c>
      <c r="E50" s="131" t="s">
        <v>2361</v>
      </c>
      <c r="F50" s="131" t="s">
        <v>2362</v>
      </c>
      <c r="G50" s="131" t="s">
        <v>2363</v>
      </c>
      <c r="H50" s="131" t="s">
        <v>2364</v>
      </c>
      <c r="I50" s="133">
        <f>IF(COUNTIF(J50:AW50,"&lt;&gt;")=0,"",SUMPRODUCT(((Recommendations[ImplStatus]="Implemented")+(Recommendations[ImplStatus]="Compensated"))*ISNUMBER(MATCH(Recommendations[Id],J50:AW50,0)))/COUNTIF(J50:AW50,"&lt;&gt;"))</f>
        <v>0</v>
      </c>
      <c r="J50" s="135" t="s">
        <v>159</v>
      </c>
      <c r="K50" s="135" t="s">
        <v>203</v>
      </c>
      <c r="L50" s="135" t="s">
        <v>500</v>
      </c>
      <c r="M50" s="135" t="s">
        <v>629</v>
      </c>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2365</v>
      </c>
      <c r="B51" s="127"/>
      <c r="C51" s="126" t="s">
        <v>2366</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2365</v>
      </c>
      <c r="B52" s="128" t="s">
        <v>2367</v>
      </c>
      <c r="C52" s="129" t="s">
        <v>2368</v>
      </c>
      <c r="D52" s="131" t="s">
        <v>2369</v>
      </c>
      <c r="E52" s="131" t="s">
        <v>2370</v>
      </c>
      <c r="F52" s="131" t="s">
        <v>2371</v>
      </c>
      <c r="G52" s="131" t="s">
        <v>2372</v>
      </c>
      <c r="H52" s="131" t="s">
        <v>2373</v>
      </c>
      <c r="I52" s="133">
        <f>IF(COUNTIF(J52:AW52,"&lt;&gt;")=0,"",SUMPRODUCT(((Recommendations[ImplStatus]="Implemented")+(Recommendations[ImplStatus]="Compensated"))*ISNUMBER(MATCH(Recommendations[Id],J52:AW52,0)))/COUNTIF(J52:AW52,"&lt;&gt;"))</f>
        <v>0</v>
      </c>
      <c r="J52" s="135" t="s">
        <v>233</v>
      </c>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2365</v>
      </c>
      <c r="B53" s="128" t="s">
        <v>2374</v>
      </c>
      <c r="C53" s="129" t="s">
        <v>2375</v>
      </c>
      <c r="D53" s="131" t="s">
        <v>2376</v>
      </c>
      <c r="E53" s="131" t="s">
        <v>2377</v>
      </c>
      <c r="F53" s="131" t="s">
        <v>2378</v>
      </c>
      <c r="G53" s="131" t="s">
        <v>2379</v>
      </c>
      <c r="H53" s="131" t="s">
        <v>2380</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2365</v>
      </c>
      <c r="B54" s="128" t="s">
        <v>2381</v>
      </c>
      <c r="C54" s="129" t="s">
        <v>2382</v>
      </c>
      <c r="D54" s="131" t="s">
        <v>2383</v>
      </c>
      <c r="E54" s="131" t="s">
        <v>2384</v>
      </c>
      <c r="F54" s="131" t="s">
        <v>2385</v>
      </c>
      <c r="G54" s="131" t="s">
        <v>2386</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2365</v>
      </c>
      <c r="B55" s="128" t="s">
        <v>2387</v>
      </c>
      <c r="C55" s="129" t="s">
        <v>2388</v>
      </c>
      <c r="D55" s="131" t="s">
        <v>2389</v>
      </c>
      <c r="E55" s="131" t="s">
        <v>2390</v>
      </c>
      <c r="F55" s="131" t="s">
        <v>2391</v>
      </c>
      <c r="G55" s="131" t="s">
        <v>2392</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2365</v>
      </c>
      <c r="B56" s="128" t="s">
        <v>2393</v>
      </c>
      <c r="C56" s="129" t="s">
        <v>2394</v>
      </c>
      <c r="D56" s="131" t="s">
        <v>2395</v>
      </c>
      <c r="E56" s="131" t="s">
        <v>2396</v>
      </c>
      <c r="F56" s="131" t="s">
        <v>2397</v>
      </c>
      <c r="G56" s="131" t="s">
        <v>2398</v>
      </c>
      <c r="H56" s="131" t="s">
        <v>2399</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2400</v>
      </c>
      <c r="B57" s="127"/>
      <c r="C57" s="126" t="s">
        <v>2401</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2400</v>
      </c>
      <c r="B58" s="128" t="s">
        <v>2402</v>
      </c>
      <c r="C58" s="129" t="s">
        <v>2403</v>
      </c>
      <c r="D58" s="131" t="s">
        <v>2404</v>
      </c>
      <c r="E58" s="131" t="s">
        <v>2405</v>
      </c>
      <c r="F58" s="131" t="s">
        <v>2406</v>
      </c>
      <c r="G58" s="131" t="s">
        <v>2407</v>
      </c>
      <c r="H58" s="131" t="s">
        <v>2408</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2400</v>
      </c>
      <c r="B59" s="128" t="s">
        <v>2409</v>
      </c>
      <c r="C59" s="129" t="s">
        <v>2410</v>
      </c>
      <c r="D59" s="131" t="s">
        <v>2411</v>
      </c>
      <c r="E59" s="131" t="s">
        <v>2412</v>
      </c>
      <c r="F59" s="131" t="s">
        <v>2413</v>
      </c>
      <c r="G59" s="131" t="s">
        <v>2414</v>
      </c>
      <c r="H59" s="131" t="s">
        <v>2415</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2400</v>
      </c>
      <c r="B60" s="128" t="s">
        <v>2416</v>
      </c>
      <c r="C60" s="129" t="s">
        <v>2417</v>
      </c>
      <c r="D60" s="131" t="s">
        <v>2418</v>
      </c>
      <c r="E60" s="131" t="s">
        <v>2419</v>
      </c>
      <c r="F60" s="131" t="s">
        <v>2420</v>
      </c>
      <c r="G60" s="131" t="s">
        <v>2421</v>
      </c>
      <c r="H60" s="131" t="s">
        <v>2422</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2423</v>
      </c>
      <c r="B61" s="127"/>
      <c r="C61" s="126" t="s">
        <v>2424</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2423</v>
      </c>
      <c r="B62" s="128" t="s">
        <v>2425</v>
      </c>
      <c r="C62" s="129" t="s">
        <v>2426</v>
      </c>
      <c r="D62" s="131" t="s">
        <v>2427</v>
      </c>
      <c r="E62" s="131" t="s">
        <v>2428</v>
      </c>
      <c r="F62" s="131" t="s">
        <v>2429</v>
      </c>
      <c r="G62" s="131" t="s">
        <v>2430</v>
      </c>
      <c r="H62" s="131" t="s">
        <v>2431</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2423</v>
      </c>
      <c r="B63" s="128" t="s">
        <v>2432</v>
      </c>
      <c r="C63" s="129" t="s">
        <v>2433</v>
      </c>
      <c r="D63" s="131" t="s">
        <v>2434</v>
      </c>
      <c r="E63" s="131" t="s">
        <v>2435</v>
      </c>
      <c r="F63" s="131" t="s">
        <v>2436</v>
      </c>
      <c r="G63" s="131" t="s">
        <v>2437</v>
      </c>
      <c r="H63" s="131" t="s">
        <v>2438</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2423</v>
      </c>
      <c r="B64" s="128" t="s">
        <v>2439</v>
      </c>
      <c r="C64" s="129" t="s">
        <v>2440</v>
      </c>
      <c r="D64" s="131" t="s">
        <v>2441</v>
      </c>
      <c r="E64" s="131" t="s">
        <v>2442</v>
      </c>
      <c r="F64" s="131" t="s">
        <v>2443</v>
      </c>
      <c r="G64" s="131" t="s">
        <v>2444</v>
      </c>
      <c r="H64" s="131" t="s">
        <v>2445</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2423</v>
      </c>
      <c r="B65" s="128" t="s">
        <v>2446</v>
      </c>
      <c r="C65" s="129" t="s">
        <v>2447</v>
      </c>
      <c r="D65" s="131" t="s">
        <v>2448</v>
      </c>
      <c r="E65" s="131" t="s">
        <v>2449</v>
      </c>
      <c r="F65" s="131" t="s">
        <v>2450</v>
      </c>
      <c r="G65" s="131" t="s">
        <v>2451</v>
      </c>
      <c r="H65" s="131" t="s">
        <v>2452</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2423</v>
      </c>
      <c r="B66" s="128" t="s">
        <v>2453</v>
      </c>
      <c r="C66" s="129" t="s">
        <v>2454</v>
      </c>
      <c r="D66" s="131" t="s">
        <v>2455</v>
      </c>
      <c r="E66" s="131" t="s">
        <v>2456</v>
      </c>
      <c r="F66" s="131" t="s">
        <v>2457</v>
      </c>
      <c r="G66" s="131" t="s">
        <v>2458</v>
      </c>
      <c r="H66" s="131" t="s">
        <v>2459</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2423</v>
      </c>
      <c r="B67" s="128" t="s">
        <v>2460</v>
      </c>
      <c r="C67" s="129" t="s">
        <v>2461</v>
      </c>
      <c r="D67" s="131" t="s">
        <v>2462</v>
      </c>
      <c r="E67" s="131" t="s">
        <v>2463</v>
      </c>
      <c r="F67" s="131" t="s">
        <v>2464</v>
      </c>
      <c r="G67" s="131" t="s">
        <v>2465</v>
      </c>
      <c r="H67" s="131" t="s">
        <v>2466</v>
      </c>
      <c r="I67" s="133">
        <f>IF(COUNTIF(J67:AW67,"&lt;&gt;")=0,"",SUMPRODUCT(((Recommendations[ImplStatus]="Implemented")+(Recommendations[ImplStatus]="Compensated"))*ISNUMBER(MATCH(Recommendations[Id],J67:AW67,0)))/COUNTIF(J67:AW67,"&lt;&gt;"))</f>
        <v>0</v>
      </c>
      <c r="J67" s="135" t="s">
        <v>784</v>
      </c>
      <c r="K67" s="135" t="s">
        <v>796</v>
      </c>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2423</v>
      </c>
      <c r="B68" s="128" t="s">
        <v>2467</v>
      </c>
      <c r="C68" s="129" t="s">
        <v>2468</v>
      </c>
      <c r="D68" s="131" t="s">
        <v>2469</v>
      </c>
      <c r="E68" s="131" t="s">
        <v>2470</v>
      </c>
      <c r="F68" s="131" t="s">
        <v>2471</v>
      </c>
      <c r="G68" s="131" t="s">
        <v>2472</v>
      </c>
      <c r="H68" s="131" t="s">
        <v>2473</v>
      </c>
      <c r="I68" s="133" t="str">
        <f>IF(COUNTIF(J68:AW68,"&lt;&gt;")=0,"",SUMPRODUCT(((Recommendations[ImplStatus]="Implemented")+(Recommendations[ImplStatus]="Compensated"))*ISNUMBER(MATCH(Recommendations[Id],J68:AW68,0)))/COUNTIF(J68:AW68,"&lt;&gt;"))</f>
        <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2474</v>
      </c>
      <c r="B69" s="127"/>
      <c r="C69" s="126" t="s">
        <v>2475</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2474</v>
      </c>
      <c r="B70" s="128" t="s">
        <v>2476</v>
      </c>
      <c r="C70" s="129" t="s">
        <v>2477</v>
      </c>
      <c r="D70" s="131" t="s">
        <v>2478</v>
      </c>
      <c r="E70" s="131" t="s">
        <v>2479</v>
      </c>
      <c r="F70" s="131" t="s">
        <v>2480</v>
      </c>
      <c r="G70" s="131" t="s">
        <v>2481</v>
      </c>
      <c r="H70" s="131" t="s">
        <v>2482</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2474</v>
      </c>
      <c r="B71" s="128" t="s">
        <v>2483</v>
      </c>
      <c r="C71" s="129" t="s">
        <v>2484</v>
      </c>
      <c r="D71" s="131" t="s">
        <v>2485</v>
      </c>
      <c r="E71" s="131" t="s">
        <v>2486</v>
      </c>
      <c r="F71" s="131" t="s">
        <v>2487</v>
      </c>
      <c r="G71" s="131" t="s">
        <v>2488</v>
      </c>
      <c r="H71" s="131" t="s">
        <v>2489</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2490</v>
      </c>
      <c r="B72" s="127"/>
      <c r="C72" s="126" t="s">
        <v>2491</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2490</v>
      </c>
      <c r="B73" s="128" t="s">
        <v>2492</v>
      </c>
      <c r="C73" s="129" t="s">
        <v>2493</v>
      </c>
      <c r="D73" s="131" t="s">
        <v>2494</v>
      </c>
      <c r="E73" s="131" t="s">
        <v>2495</v>
      </c>
      <c r="F73" s="131" t="s">
        <v>2496</v>
      </c>
      <c r="G73" s="131" t="s">
        <v>2497</v>
      </c>
      <c r="H73" s="131" t="s">
        <v>2498</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2490</v>
      </c>
      <c r="B74" s="128" t="s">
        <v>2499</v>
      </c>
      <c r="C74" s="129" t="s">
        <v>2500</v>
      </c>
      <c r="D74" s="131" t="s">
        <v>2501</v>
      </c>
      <c r="E74" s="131" t="s">
        <v>2502</v>
      </c>
      <c r="F74" s="131" t="s">
        <v>2503</v>
      </c>
      <c r="G74" s="131" t="s">
        <v>2504</v>
      </c>
      <c r="H74" s="131" t="s">
        <v>2505</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2490</v>
      </c>
      <c r="B75" s="128" t="s">
        <v>2506</v>
      </c>
      <c r="C75" s="129" t="s">
        <v>2507</v>
      </c>
      <c r="D75" s="131" t="s">
        <v>2508</v>
      </c>
      <c r="E75" s="131" t="s">
        <v>2509</v>
      </c>
      <c r="F75" s="131" t="s">
        <v>2510</v>
      </c>
      <c r="G75" s="131" t="s">
        <v>2511</v>
      </c>
      <c r="H75" s="131" t="s">
        <v>2512</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2490</v>
      </c>
      <c r="B76" s="128" t="s">
        <v>2513</v>
      </c>
      <c r="C76" s="129" t="s">
        <v>2514</v>
      </c>
      <c r="D76" s="131" t="s">
        <v>2515</v>
      </c>
      <c r="E76" s="131" t="s">
        <v>2516</v>
      </c>
      <c r="F76" s="131" t="s">
        <v>2517</v>
      </c>
      <c r="G76" s="131" t="s">
        <v>2518</v>
      </c>
      <c r="H76" s="131" t="s">
        <v>2519</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2490</v>
      </c>
      <c r="B77" s="128" t="s">
        <v>2520</v>
      </c>
      <c r="C77" s="129" t="s">
        <v>2521</v>
      </c>
      <c r="D77" s="131" t="s">
        <v>2522</v>
      </c>
      <c r="E77" s="131" t="s">
        <v>2523</v>
      </c>
      <c r="F77" s="131" t="s">
        <v>2524</v>
      </c>
      <c r="G77" s="131" t="s">
        <v>2518</v>
      </c>
      <c r="H77" s="131" t="s">
        <v>2525</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2526</v>
      </c>
      <c r="B78" s="127"/>
      <c r="C78" s="126" t="s">
        <v>2527</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2526</v>
      </c>
      <c r="B79" s="128" t="s">
        <v>2526</v>
      </c>
      <c r="C79" s="129" t="s">
        <v>2528</v>
      </c>
      <c r="D79" s="131" t="s">
        <v>2529</v>
      </c>
      <c r="E79" s="131" t="s">
        <v>2530</v>
      </c>
      <c r="F79" s="131" t="s">
        <v>2531</v>
      </c>
      <c r="G79" s="131" t="s">
        <v>2532</v>
      </c>
      <c r="H79" s="131" t="s">
        <v>2533</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2526</v>
      </c>
      <c r="B80" s="128" t="s">
        <v>2534</v>
      </c>
      <c r="C80" s="129" t="s">
        <v>2535</v>
      </c>
      <c r="D80" s="131" t="s">
        <v>2536</v>
      </c>
      <c r="E80" s="131" t="s">
        <v>2537</v>
      </c>
      <c r="F80" s="131" t="s">
        <v>2538</v>
      </c>
      <c r="G80" s="131" t="s">
        <v>2539</v>
      </c>
      <c r="H80" s="131" t="s">
        <v>2540</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2526</v>
      </c>
      <c r="B81" s="128" t="s">
        <v>2541</v>
      </c>
      <c r="C81" s="129" t="s">
        <v>2542</v>
      </c>
      <c r="D81" s="131" t="s">
        <v>2543</v>
      </c>
      <c r="E81" s="131" t="s">
        <v>2544</v>
      </c>
      <c r="F81" s="131" t="s">
        <v>2545</v>
      </c>
      <c r="G81" s="131" t="s">
        <v>2546</v>
      </c>
      <c r="H81" s="131" t="s">
        <v>2547</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2548</v>
      </c>
      <c r="B82" s="127"/>
      <c r="C82" s="126" t="s">
        <v>2549</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2548</v>
      </c>
      <c r="B83" s="128" t="s">
        <v>2550</v>
      </c>
      <c r="C83" s="129" t="s">
        <v>2551</v>
      </c>
      <c r="D83" s="131" t="s">
        <v>2552</v>
      </c>
      <c r="E83" s="131" t="s">
        <v>2553</v>
      </c>
      <c r="F83" s="131" t="s">
        <v>2554</v>
      </c>
      <c r="G83" s="131" t="s">
        <v>2555</v>
      </c>
      <c r="H83" s="131" t="s">
        <v>2556</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2548</v>
      </c>
      <c r="B84" s="128" t="s">
        <v>2557</v>
      </c>
      <c r="C84" s="129" t="s">
        <v>2558</v>
      </c>
      <c r="D84" s="131" t="s">
        <v>2559</v>
      </c>
      <c r="E84" s="131" t="s">
        <v>2560</v>
      </c>
      <c r="F84" s="131" t="s">
        <v>2561</v>
      </c>
      <c r="G84" s="131" t="s">
        <v>2562</v>
      </c>
      <c r="H84" s="131" t="s">
        <v>2563</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2548</v>
      </c>
      <c r="B85" s="128" t="s">
        <v>2564</v>
      </c>
      <c r="C85" s="129" t="s">
        <v>2565</v>
      </c>
      <c r="D85" s="131" t="s">
        <v>2566</v>
      </c>
      <c r="E85" s="131" t="s">
        <v>2567</v>
      </c>
      <c r="F85" s="131" t="s">
        <v>2568</v>
      </c>
      <c r="G85" s="131" t="s">
        <v>2569</v>
      </c>
      <c r="H85" s="131" t="s">
        <v>2570</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2548</v>
      </c>
      <c r="B86" s="128" t="s">
        <v>2571</v>
      </c>
      <c r="C86" s="129" t="s">
        <v>2572</v>
      </c>
      <c r="D86" s="131" t="s">
        <v>2573</v>
      </c>
      <c r="E86" s="131" t="s">
        <v>2574</v>
      </c>
      <c r="F86" s="131" t="s">
        <v>2575</v>
      </c>
      <c r="G86" s="131" t="s">
        <v>2576</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2577</v>
      </c>
      <c r="B87" s="127"/>
      <c r="C87" s="126" t="s">
        <v>2578</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2577</v>
      </c>
      <c r="B88" s="128" t="s">
        <v>2579</v>
      </c>
      <c r="C88" s="129" t="s">
        <v>2580</v>
      </c>
      <c r="D88" s="131" t="s">
        <v>2581</v>
      </c>
      <c r="E88" s="131" t="s">
        <v>2582</v>
      </c>
      <c r="F88" s="131" t="s">
        <v>2583</v>
      </c>
      <c r="G88" s="131" t="s">
        <v>2584</v>
      </c>
      <c r="H88" s="131" t="s">
        <v>2585</v>
      </c>
      <c r="I88" s="133">
        <f>IF(COUNTIF(J88:AW88,"&lt;&gt;")=0,"",SUMPRODUCT(((Recommendations[ImplStatus]="Implemented")+(Recommendations[ImplStatus]="Compensated"))*ISNUMBER(MATCH(Recommendations[Id],J88:AW88,0)))/COUNTIF(J88:AW88,"&lt;&gt;"))</f>
        <v>0</v>
      </c>
      <c r="J88" s="135" t="s">
        <v>253</v>
      </c>
      <c r="K88" s="135" t="s">
        <v>258</v>
      </c>
      <c r="L88" s="135" t="s">
        <v>263</v>
      </c>
      <c r="M88" s="135" t="s">
        <v>283</v>
      </c>
      <c r="N88" s="135" t="s">
        <v>298</v>
      </c>
      <c r="O88" s="135" t="s">
        <v>303</v>
      </c>
      <c r="P88" s="135" t="s">
        <v>308</v>
      </c>
      <c r="Q88" s="135" t="s">
        <v>318</v>
      </c>
      <c r="R88" s="135" t="s">
        <v>323</v>
      </c>
      <c r="S88" s="135" t="s">
        <v>328</v>
      </c>
      <c r="T88" s="135" t="s">
        <v>343</v>
      </c>
      <c r="U88" s="135" t="s">
        <v>403</v>
      </c>
      <c r="V88" s="135" t="s">
        <v>428</v>
      </c>
      <c r="W88" s="135" t="s">
        <v>433</v>
      </c>
      <c r="X88" s="135" t="s">
        <v>438</v>
      </c>
      <c r="Y88" s="135" t="s">
        <v>443</v>
      </c>
      <c r="Z88" s="135" t="s">
        <v>453</v>
      </c>
      <c r="AA88" s="135" t="s">
        <v>457</v>
      </c>
      <c r="AB88" s="135" t="s">
        <v>461</v>
      </c>
      <c r="AC88" s="135" t="s">
        <v>515</v>
      </c>
      <c r="AD88" s="135" t="s">
        <v>593</v>
      </c>
      <c r="AE88" s="135" t="s">
        <v>603</v>
      </c>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2577</v>
      </c>
      <c r="B89" s="128" t="s">
        <v>2586</v>
      </c>
      <c r="C89" s="129" t="s">
        <v>2587</v>
      </c>
      <c r="D89" s="131" t="s">
        <v>2588</v>
      </c>
      <c r="E89" s="131" t="s">
        <v>2589</v>
      </c>
      <c r="F89" s="131" t="s">
        <v>2590</v>
      </c>
      <c r="G89" s="131" t="s">
        <v>2114</v>
      </c>
      <c r="H89" s="131" t="s">
        <v>2591</v>
      </c>
      <c r="I89" s="133">
        <f>IF(COUNTIF(J89:AW89,"&lt;&gt;")=0,"",SUMPRODUCT(((Recommendations[ImplStatus]="Implemented")+(Recommendations[ImplStatus]="Compensated"))*ISNUMBER(MATCH(Recommendations[Id],J89:AW89,0)))/COUNTIF(J89:AW89,"&lt;&gt;"))</f>
        <v>0</v>
      </c>
      <c r="J89" s="135" t="s">
        <v>278</v>
      </c>
      <c r="K89" s="135" t="s">
        <v>684</v>
      </c>
      <c r="L89" s="135" t="s">
        <v>690</v>
      </c>
      <c r="M89" s="135" t="s">
        <v>694</v>
      </c>
      <c r="N89" s="135" t="s">
        <v>698</v>
      </c>
      <c r="O89" s="135" t="s">
        <v>717</v>
      </c>
      <c r="P89" s="135" t="s">
        <v>820</v>
      </c>
      <c r="Q89" s="135" t="s">
        <v>825</v>
      </c>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2577</v>
      </c>
      <c r="B90" s="128" t="s">
        <v>2592</v>
      </c>
      <c r="C90" s="129" t="s">
        <v>2593</v>
      </c>
      <c r="D90" s="131" t="s">
        <v>2594</v>
      </c>
      <c r="E90" s="131" t="s">
        <v>2595</v>
      </c>
      <c r="F90" s="131" t="s">
        <v>2596</v>
      </c>
      <c r="G90" s="131" t="s">
        <v>2584</v>
      </c>
      <c r="H90" s="131" t="s">
        <v>2597</v>
      </c>
      <c r="I90" s="133">
        <f>IF(COUNTIF(J90:AW90,"&lt;&gt;")=0,"",SUMPRODUCT(((Recommendations[ImplStatus]="Implemented")+(Recommendations[ImplStatus]="Compensated"))*ISNUMBER(MATCH(Recommendations[Id],J90:AW90,0)))/COUNTIF(J90:AW90,"&lt;&gt;"))</f>
        <v>0</v>
      </c>
      <c r="J90" s="135" t="s">
        <v>283</v>
      </c>
      <c r="K90" s="135" t="s">
        <v>288</v>
      </c>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2577</v>
      </c>
      <c r="B91" s="128" t="s">
        <v>2598</v>
      </c>
      <c r="C91" s="129" t="s">
        <v>2599</v>
      </c>
      <c r="D91" s="131" t="s">
        <v>2600</v>
      </c>
      <c r="E91" s="131" t="s">
        <v>2601</v>
      </c>
      <c r="F91" s="131" t="s">
        <v>2602</v>
      </c>
      <c r="G91" s="131" t="s">
        <v>2114</v>
      </c>
      <c r="H91" s="131" t="s">
        <v>2603</v>
      </c>
      <c r="I91" s="133">
        <f>IF(COUNTIF(J91:AW91,"&lt;&gt;")=0,"",SUMPRODUCT(((Recommendations[ImplStatus]="Implemented")+(Recommendations[ImplStatus]="Compensated"))*ISNUMBER(MATCH(Recommendations[Id],J91:AW91,0)))/COUNTIF(J91:AW91,"&lt;&gt;"))</f>
        <v>0</v>
      </c>
      <c r="J91" s="135" t="s">
        <v>63</v>
      </c>
      <c r="K91" s="135" t="s">
        <v>99</v>
      </c>
      <c r="L91" s="135" t="s">
        <v>203</v>
      </c>
      <c r="M91" s="135" t="s">
        <v>368</v>
      </c>
      <c r="N91" s="135" t="s">
        <v>465</v>
      </c>
      <c r="O91" s="135" t="s">
        <v>614</v>
      </c>
      <c r="P91" s="135" t="s">
        <v>619</v>
      </c>
      <c r="Q91" s="135" t="s">
        <v>669</v>
      </c>
      <c r="R91" s="135" t="s">
        <v>855</v>
      </c>
      <c r="S91" s="135" t="s">
        <v>860</v>
      </c>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2577</v>
      </c>
      <c r="B92" s="128" t="s">
        <v>2604</v>
      </c>
      <c r="C92" s="129" t="s">
        <v>2605</v>
      </c>
      <c r="D92" s="131" t="s">
        <v>2606</v>
      </c>
      <c r="E92" s="131" t="s">
        <v>2607</v>
      </c>
      <c r="F92" s="131" t="s">
        <v>2608</v>
      </c>
      <c r="G92" s="131" t="s">
        <v>2114</v>
      </c>
      <c r="H92" s="131" t="s">
        <v>2609</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2577</v>
      </c>
      <c r="B93" s="128" t="s">
        <v>2610</v>
      </c>
      <c r="C93" s="129" t="s">
        <v>2611</v>
      </c>
      <c r="D93" s="131" t="s">
        <v>2612</v>
      </c>
      <c r="E93" s="131" t="s">
        <v>2613</v>
      </c>
      <c r="F93" s="131" t="s">
        <v>2614</v>
      </c>
      <c r="G93" s="131" t="s">
        <v>2615</v>
      </c>
      <c r="H93" s="131" t="s">
        <v>2616</v>
      </c>
      <c r="I93" s="133">
        <f>IF(COUNTIF(J93:AW93,"&lt;&gt;")=0,"",SUMPRODUCT(((Recommendations[ImplStatus]="Implemented")+(Recommendations[ImplStatus]="Compensated"))*ISNUMBER(MATCH(Recommendations[Id],J93:AW93,0)))/COUNTIF(J93:AW93,"&lt;&gt;"))</f>
        <v>0</v>
      </c>
      <c r="J93" s="135" t="s">
        <v>659</v>
      </c>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2577</v>
      </c>
      <c r="B94" s="128" t="s">
        <v>2617</v>
      </c>
      <c r="C94" s="129" t="s">
        <v>2618</v>
      </c>
      <c r="D94" s="131" t="s">
        <v>2619</v>
      </c>
      <c r="E94" s="131" t="s">
        <v>2620</v>
      </c>
      <c r="F94" s="131" t="s">
        <v>2621</v>
      </c>
      <c r="G94" s="131" t="s">
        <v>2622</v>
      </c>
      <c r="H94" s="131" t="s">
        <v>2623</v>
      </c>
      <c r="I94" s="133">
        <f>IF(COUNTIF(J94:AW94,"&lt;&gt;")=0,"",SUMPRODUCT(((Recommendations[ImplStatus]="Implemented")+(Recommendations[ImplStatus]="Compensated"))*ISNUMBER(MATCH(Recommendations[Id],J94:AW94,0)))/COUNTIF(J94:AW94,"&lt;&gt;"))</f>
        <v>0</v>
      </c>
      <c r="J94" s="135" t="s">
        <v>63</v>
      </c>
      <c r="K94" s="135" t="s">
        <v>99</v>
      </c>
      <c r="L94" s="135" t="s">
        <v>179</v>
      </c>
      <c r="M94" s="135" t="s">
        <v>614</v>
      </c>
      <c r="N94" s="135" t="s">
        <v>659</v>
      </c>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2577</v>
      </c>
      <c r="B95" s="128" t="s">
        <v>2624</v>
      </c>
      <c r="C95" s="129" t="s">
        <v>2625</v>
      </c>
      <c r="D95" s="131" t="s">
        <v>2626</v>
      </c>
      <c r="E95" s="131" t="s">
        <v>2627</v>
      </c>
      <c r="F95" s="131" t="s">
        <v>2628</v>
      </c>
      <c r="G95" s="131" t="s">
        <v>2629</v>
      </c>
      <c r="H95" s="131" t="s">
        <v>2630</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2577</v>
      </c>
      <c r="B96" s="128" t="s">
        <v>2631</v>
      </c>
      <c r="C96" s="129" t="s">
        <v>2632</v>
      </c>
      <c r="D96" s="131" t="s">
        <v>2633</v>
      </c>
      <c r="E96" s="131" t="s">
        <v>2634</v>
      </c>
      <c r="F96" s="131" t="s">
        <v>2635</v>
      </c>
      <c r="G96" s="131" t="s">
        <v>2636</v>
      </c>
      <c r="H96" s="131" t="s">
        <v>2637</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2577</v>
      </c>
      <c r="B97" s="128" t="s">
        <v>2638</v>
      </c>
      <c r="C97" s="129" t="s">
        <v>2639</v>
      </c>
      <c r="D97" s="131" t="s">
        <v>2640</v>
      </c>
      <c r="E97" s="131" t="s">
        <v>2641</v>
      </c>
      <c r="F97" s="131" t="s">
        <v>2642</v>
      </c>
      <c r="G97" s="131" t="s">
        <v>2643</v>
      </c>
      <c r="H97" s="131" t="s">
        <v>2644</v>
      </c>
      <c r="I97" s="133">
        <f>IF(COUNTIF(J97:AW97,"&lt;&gt;")=0,"",SUMPRODUCT(((Recommendations[ImplStatus]="Implemented")+(Recommendations[ImplStatus]="Compensated"))*ISNUMBER(MATCH(Recommendations[Id],J97:AW97,0)))/COUNTIF(J97:AW97,"&lt;&gt;"))</f>
        <v>0</v>
      </c>
      <c r="J97" s="135" t="s">
        <v>273</v>
      </c>
      <c r="K97" s="135" t="s">
        <v>368</v>
      </c>
      <c r="L97" s="135" t="s">
        <v>619</v>
      </c>
      <c r="M97" s="135" t="s">
        <v>654</v>
      </c>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2645</v>
      </c>
      <c r="B98" s="127"/>
      <c r="C98" s="126" t="s">
        <v>2646</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2645</v>
      </c>
      <c r="B99" s="128" t="s">
        <v>2647</v>
      </c>
      <c r="C99" s="129" t="s">
        <v>2648</v>
      </c>
      <c r="D99" s="131" t="s">
        <v>2649</v>
      </c>
      <c r="E99" s="131" t="s">
        <v>2650</v>
      </c>
      <c r="F99" s="131" t="s">
        <v>2651</v>
      </c>
      <c r="G99" s="131" t="s">
        <v>2652</v>
      </c>
      <c r="H99" s="131" t="s">
        <v>2653</v>
      </c>
      <c r="I99" s="133">
        <f>IF(COUNTIF(J99:AW99,"&lt;&gt;")=0,"",SUMPRODUCT(((Recommendations[ImplStatus]="Implemented")+(Recommendations[ImplStatus]="Compensated"))*ISNUMBER(MATCH(Recommendations[Id],J99:AW99,0)))/COUNTIF(J99:AW99,"&lt;&gt;"))</f>
        <v>0</v>
      </c>
      <c r="J99" s="135" t="s">
        <v>248</v>
      </c>
      <c r="K99" s="135" t="s">
        <v>353</v>
      </c>
      <c r="L99" s="135" t="s">
        <v>358</v>
      </c>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2645</v>
      </c>
      <c r="B100" s="128" t="s">
        <v>2654</v>
      </c>
      <c r="C100" s="129" t="s">
        <v>2655</v>
      </c>
      <c r="D100" s="131" t="s">
        <v>2656</v>
      </c>
      <c r="E100" s="131" t="s">
        <v>2657</v>
      </c>
      <c r="F100" s="131" t="s">
        <v>2658</v>
      </c>
      <c r="G100" s="131" t="s">
        <v>2659</v>
      </c>
      <c r="H100" s="131" t="s">
        <v>2660</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2645</v>
      </c>
      <c r="B101" s="128" t="s">
        <v>2661</v>
      </c>
      <c r="C101" s="129" t="s">
        <v>2662</v>
      </c>
      <c r="D101" s="131" t="s">
        <v>2663</v>
      </c>
      <c r="E101" s="131" t="s">
        <v>2664</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2645</v>
      </c>
      <c r="B102" s="128" t="s">
        <v>2665</v>
      </c>
      <c r="C102" s="129" t="s">
        <v>2666</v>
      </c>
      <c r="D102" s="131" t="s">
        <v>2667</v>
      </c>
      <c r="E102" s="131" t="s">
        <v>2668</v>
      </c>
      <c r="F102" s="131" t="s">
        <v>2669</v>
      </c>
      <c r="G102" s="131" t="s">
        <v>2670</v>
      </c>
      <c r="H102" s="131" t="s">
        <v>2671</v>
      </c>
      <c r="I102" s="133">
        <f>IF(COUNTIF(J102:AW102,"&lt;&gt;")=0,"",SUMPRODUCT(((Recommendations[ImplStatus]="Implemented")+(Recommendations[ImplStatus]="Compensated"))*ISNUMBER(MATCH(Recommendations[Id],J102:AW102,0)))/COUNTIF(J102:AW102,"&lt;&gt;"))</f>
        <v>0</v>
      </c>
      <c r="J102" s="135" t="s">
        <v>598</v>
      </c>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2645</v>
      </c>
      <c r="B103" s="128" t="s">
        <v>2672</v>
      </c>
      <c r="C103" s="129" t="s">
        <v>2673</v>
      </c>
      <c r="D103" s="131" t="s">
        <v>2674</v>
      </c>
      <c r="E103" s="131" t="s">
        <v>2675</v>
      </c>
      <c r="F103" s="131" t="s">
        <v>2676</v>
      </c>
      <c r="G103" s="131" t="s">
        <v>2677</v>
      </c>
      <c r="H103" s="131" t="s">
        <v>2678</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2679</v>
      </c>
      <c r="B104" s="127"/>
      <c r="C104" s="126" t="s">
        <v>2680</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2679</v>
      </c>
      <c r="B105" s="128" t="s">
        <v>2681</v>
      </c>
      <c r="C105" s="129" t="s">
        <v>2682</v>
      </c>
      <c r="D105" s="131" t="s">
        <v>2683</v>
      </c>
      <c r="E105" s="131" t="s">
        <v>2684</v>
      </c>
      <c r="F105" s="131" t="s">
        <v>2685</v>
      </c>
      <c r="G105" s="131" t="s">
        <v>2686</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2679</v>
      </c>
      <c r="B106" s="128" t="s">
        <v>2687</v>
      </c>
      <c r="C106" s="129" t="s">
        <v>2688</v>
      </c>
      <c r="D106" s="131" t="s">
        <v>2689</v>
      </c>
      <c r="E106" s="131" t="s">
        <v>2690</v>
      </c>
      <c r="F106" s="131" t="s">
        <v>2691</v>
      </c>
      <c r="G106" s="131" t="s">
        <v>2692</v>
      </c>
      <c r="H106" s="131" t="s">
        <v>2693</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2679</v>
      </c>
      <c r="B107" s="128" t="s">
        <v>2694</v>
      </c>
      <c r="C107" s="129" t="s">
        <v>2695</v>
      </c>
      <c r="D107" s="131" t="s">
        <v>2696</v>
      </c>
      <c r="E107" s="131" t="s">
        <v>2697</v>
      </c>
      <c r="F107" s="131" t="s">
        <v>2698</v>
      </c>
      <c r="G107" s="131" t="s">
        <v>2699</v>
      </c>
      <c r="H107" s="131" t="s">
        <v>2700</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2701</v>
      </c>
      <c r="B108" s="127"/>
      <c r="C108" s="126" t="s">
        <v>2702</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2701</v>
      </c>
      <c r="B109" s="128" t="s">
        <v>2703</v>
      </c>
      <c r="C109" s="129" t="s">
        <v>2704</v>
      </c>
      <c r="D109" s="131" t="s">
        <v>2705</v>
      </c>
      <c r="E109" s="131" t="s">
        <v>2706</v>
      </c>
      <c r="F109" s="131" t="s">
        <v>2707</v>
      </c>
      <c r="G109" s="131" t="s">
        <v>2708</v>
      </c>
      <c r="H109" s="131" t="s">
        <v>2709</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2701</v>
      </c>
      <c r="B110" s="128" t="s">
        <v>2710</v>
      </c>
      <c r="C110" s="129" t="s">
        <v>2711</v>
      </c>
      <c r="D110" s="131" t="s">
        <v>2712</v>
      </c>
      <c r="E110" s="131" t="s">
        <v>2713</v>
      </c>
      <c r="F110" s="131" t="s">
        <v>2714</v>
      </c>
      <c r="G110" s="131" t="s">
        <v>2715</v>
      </c>
      <c r="H110" s="131" t="s">
        <v>2716</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2701</v>
      </c>
      <c r="B111" s="128" t="s">
        <v>2717</v>
      </c>
      <c r="C111" s="129" t="s">
        <v>2718</v>
      </c>
      <c r="D111" s="131" t="s">
        <v>2719</v>
      </c>
      <c r="E111" s="131" t="s">
        <v>2720</v>
      </c>
      <c r="F111" s="131" t="s">
        <v>2721</v>
      </c>
      <c r="G111" s="131" t="s">
        <v>2722</v>
      </c>
      <c r="H111" s="131" t="s">
        <v>2723</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2724</v>
      </c>
      <c r="B112" s="127"/>
      <c r="C112" s="126" t="s">
        <v>2725</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2724</v>
      </c>
      <c r="B113" s="128" t="s">
        <v>2726</v>
      </c>
      <c r="C113" s="129" t="s">
        <v>2727</v>
      </c>
      <c r="D113" s="131" t="s">
        <v>2728</v>
      </c>
      <c r="E113" s="131" t="s">
        <v>2729</v>
      </c>
      <c r="F113" s="131" t="s">
        <v>2730</v>
      </c>
      <c r="G113" s="131" t="s">
        <v>2731</v>
      </c>
      <c r="H113" s="131" t="s">
        <v>2732</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2724</v>
      </c>
      <c r="B114" s="128" t="s">
        <v>2733</v>
      </c>
      <c r="C114" s="129" t="s">
        <v>2734</v>
      </c>
      <c r="D114" s="131" t="s">
        <v>2735</v>
      </c>
      <c r="E114" s="131" t="s">
        <v>2736</v>
      </c>
      <c r="F114" s="131" t="s">
        <v>2737</v>
      </c>
      <c r="G114" s="131" t="s">
        <v>2731</v>
      </c>
      <c r="H114" s="131" t="s">
        <v>2738</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2724</v>
      </c>
      <c r="B115" s="136" t="s">
        <v>2739</v>
      </c>
      <c r="C115" s="137" t="s">
        <v>2740</v>
      </c>
      <c r="D115" s="138" t="s">
        <v>2741</v>
      </c>
      <c r="E115" s="138" t="s">
        <v>2742</v>
      </c>
      <c r="F115" s="138" t="s">
        <v>2743</v>
      </c>
      <c r="G115" s="138" t="s">
        <v>2744</v>
      </c>
      <c r="H115" s="138" t="s">
        <v>2745</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865</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IFERROR(INDEX('Recommendations'!$H$2:$H$178, MATCH(J2,'Recommendations'!$A$2:$A$178,0))="Implemented", FALSE))</xm:f>
            <x14:dxf>
              <font>
                <color rgb="FF000000"/>
              </font>
              <fill>
                <patternFill>
                  <bgColor rgb="FF3C7D22"/>
                </patternFill>
              </fill>
            </x14:dxf>
          </x14:cfRule>
          <x14:cfRule type="expression" priority="2" id="{00000000-000E-0000-0600-000002000000}">
            <xm:f>AND(J2&lt;&gt;"", IFERROR(INDEX('Recommendations'!$H$2:$H$178, MATCH(J2,'Recommendations'!$A$2:$A$178,0))="Compensated", FALSE))</xm:f>
            <x14:dxf>
              <font>
                <color rgb="FF000000"/>
              </font>
              <fill>
                <patternFill>
                  <bgColor rgb="FFC6E0B4"/>
                </patternFill>
              </fill>
            </x14:dxf>
          </x14:cfRule>
          <x14:cfRule type="expression" priority="3" id="{00000000-000E-0000-0600-000003000000}">
            <xm:f>AND(J2&lt;&gt;"", IFERROR(INDEX('Recommendations'!$H$2:$H$178, MATCH(J2,'Recommendations'!$A$2:$A$178,0))="Testing", FALSE))</xm:f>
            <x14:dxf>
              <font>
                <color rgb="FF000000"/>
              </font>
              <fill>
                <patternFill>
                  <bgColor rgb="FFFFC000"/>
                </patternFill>
              </fill>
            </x14:dxf>
          </x14:cfRule>
          <x14:cfRule type="expression" priority="4" id="{00000000-000E-0000-0600-000004000000}">
            <xm:f>AND(J2&lt;&gt;"", IFERROR(INDEX('Recommendations'!$H$2:$H$178, MATCH(J2,'Recommendations'!$A$2:$A$178,0))="Failed", FALSE))</xm:f>
            <x14:dxf>
              <font>
                <color rgb="FF000000"/>
              </font>
              <fill>
                <patternFill>
                  <bgColor rgb="FFD82891"/>
                </patternFill>
              </fill>
            </x14:dxf>
          </x14:cfRule>
          <x14:cfRule type="expression" priority="5" id="{00000000-000E-0000-0600-000005000000}">
            <xm:f>AND(J2&lt;&gt;"", IFERROR(INDEX('Recommendations'!$H$2:$H$178, MATCH(J2,'Recommendations'!$A$2:$A$178,0))="Risk Accepted", FALSE))</xm:f>
            <x14:dxf>
              <font>
                <color rgb="FF000000"/>
              </font>
              <fill>
                <patternFill>
                  <bgColor rgb="FFD9D9D9"/>
                </patternFill>
              </fill>
            </x14:dxf>
          </x14:cfRule>
          <x14:cfRule type="expression" priority="6" id="{00000000-000E-0000-0600-000006000000}">
            <xm:f>AND(J2&lt;&gt;"", IFERROR(INDEX('Recommendations'!$H$2:$H$178, MATCH(J2,'Recommendations'!$A$2:$A$178,0))="N/A",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2746</v>
      </c>
      <c r="B1" s="187" t="s">
        <v>2747</v>
      </c>
      <c r="C1" s="187" t="s">
        <v>0</v>
      </c>
      <c r="D1" s="187" t="s">
        <v>2748</v>
      </c>
      <c r="E1" s="187" t="s">
        <v>2749</v>
      </c>
      <c r="F1" s="187" t="s">
        <v>2750</v>
      </c>
      <c r="G1" s="187" t="s">
        <v>1115</v>
      </c>
      <c r="H1" s="187" t="s">
        <v>1116</v>
      </c>
      <c r="I1" s="187" t="s">
        <v>1117</v>
      </c>
      <c r="J1" s="187" t="s">
        <v>1118</v>
      </c>
      <c r="K1" s="187" t="s">
        <v>1119</v>
      </c>
      <c r="L1" s="187" t="s">
        <v>1120</v>
      </c>
      <c r="M1" s="187" t="s">
        <v>1121</v>
      </c>
      <c r="N1" s="187" t="s">
        <v>1122</v>
      </c>
      <c r="O1" s="187" t="s">
        <v>1123</v>
      </c>
      <c r="P1" s="187" t="s">
        <v>1124</v>
      </c>
      <c r="Q1" s="187" t="s">
        <v>1125</v>
      </c>
      <c r="R1" s="187" t="s">
        <v>1126</v>
      </c>
      <c r="S1" s="187" t="s">
        <v>1127</v>
      </c>
      <c r="T1" s="187" t="s">
        <v>1128</v>
      </c>
      <c r="U1" s="187" t="s">
        <v>1129</v>
      </c>
      <c r="V1" s="187" t="s">
        <v>1130</v>
      </c>
      <c r="W1" s="187" t="s">
        <v>1131</v>
      </c>
      <c r="X1" s="187" t="s">
        <v>1132</v>
      </c>
      <c r="Y1" s="187" t="s">
        <v>1133</v>
      </c>
      <c r="Z1" s="187" t="s">
        <v>1134</v>
      </c>
      <c r="AA1" s="187" t="s">
        <v>1135</v>
      </c>
      <c r="AB1" s="187" t="s">
        <v>1136</v>
      </c>
      <c r="AC1" s="187" t="s">
        <v>1137</v>
      </c>
      <c r="AD1" s="187" t="s">
        <v>1138</v>
      </c>
      <c r="AE1" s="187" t="s">
        <v>1139</v>
      </c>
      <c r="AF1" s="187" t="s">
        <v>1140</v>
      </c>
      <c r="AG1" s="187" t="s">
        <v>1141</v>
      </c>
      <c r="AH1" s="187" t="s">
        <v>1142</v>
      </c>
      <c r="AI1" s="187" t="s">
        <v>1143</v>
      </c>
      <c r="AJ1" s="187" t="s">
        <v>1144</v>
      </c>
      <c r="AK1" s="187" t="s">
        <v>1145</v>
      </c>
      <c r="AL1" s="187" t="s">
        <v>1146</v>
      </c>
      <c r="AM1" s="187" t="s">
        <v>1147</v>
      </c>
      <c r="AN1" s="187" t="s">
        <v>1148</v>
      </c>
      <c r="AO1" s="187" t="s">
        <v>1149</v>
      </c>
      <c r="AP1" s="187" t="s">
        <v>1150</v>
      </c>
      <c r="AQ1" s="187" t="s">
        <v>1151</v>
      </c>
      <c r="AR1" s="187" t="s">
        <v>1152</v>
      </c>
      <c r="AS1" s="187" t="s">
        <v>1153</v>
      </c>
      <c r="AT1" s="187" t="s">
        <v>1154</v>
      </c>
      <c r="AU1" s="188" t="s">
        <v>1155</v>
      </c>
    </row>
    <row r="2" spans="1:47" ht="60" customHeight="1" outlineLevel="1" x14ac:dyDescent="0.35">
      <c r="A2" s="178" t="s">
        <v>2751</v>
      </c>
      <c r="B2" s="152" t="s">
        <v>21</v>
      </c>
      <c r="C2" s="150" t="s">
        <v>2752</v>
      </c>
      <c r="D2" s="156" t="s">
        <v>2753</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2751</v>
      </c>
      <c r="B3" s="153" t="s">
        <v>2754</v>
      </c>
      <c r="C3" s="151" t="s">
        <v>2755</v>
      </c>
      <c r="D3" s="157" t="s">
        <v>2756</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2751</v>
      </c>
      <c r="B4" s="154" t="s">
        <v>2754</v>
      </c>
      <c r="C4" s="155" t="s">
        <v>2757</v>
      </c>
      <c r="D4" s="158" t="s">
        <v>2758</v>
      </c>
      <c r="E4" s="161" t="s">
        <v>2759</v>
      </c>
      <c r="F4" s="164" t="s">
        <v>2760</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2751</v>
      </c>
      <c r="B5" s="154" t="s">
        <v>2754</v>
      </c>
      <c r="C5" s="155" t="s">
        <v>2761</v>
      </c>
      <c r="D5" s="158" t="s">
        <v>2762</v>
      </c>
      <c r="E5" s="161" t="s">
        <v>2763</v>
      </c>
      <c r="F5" s="164" t="s">
        <v>2764</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2751</v>
      </c>
      <c r="B6" s="154" t="s">
        <v>2754</v>
      </c>
      <c r="C6" s="155" t="s">
        <v>2765</v>
      </c>
      <c r="D6" s="158" t="s">
        <v>2766</v>
      </c>
      <c r="E6" s="161" t="s">
        <v>2767</v>
      </c>
      <c r="F6" s="164" t="s">
        <v>2764</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2751</v>
      </c>
      <c r="B7" s="154" t="s">
        <v>2754</v>
      </c>
      <c r="C7" s="155" t="s">
        <v>2768</v>
      </c>
      <c r="D7" s="158" t="s">
        <v>2769</v>
      </c>
      <c r="E7" s="161" t="s">
        <v>2770</v>
      </c>
      <c r="F7" s="164" t="s">
        <v>2764</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2751</v>
      </c>
      <c r="B8" s="154" t="s">
        <v>2754</v>
      </c>
      <c r="C8" s="155" t="s">
        <v>2771</v>
      </c>
      <c r="D8" s="158" t="s">
        <v>2772</v>
      </c>
      <c r="E8" s="161" t="s">
        <v>2773</v>
      </c>
      <c r="F8" s="164" t="s">
        <v>2774</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2751</v>
      </c>
      <c r="B9" s="153" t="s">
        <v>2775</v>
      </c>
      <c r="C9" s="151" t="s">
        <v>2776</v>
      </c>
      <c r="D9" s="157" t="s">
        <v>2777</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2751</v>
      </c>
      <c r="B10" s="154" t="s">
        <v>2775</v>
      </c>
      <c r="C10" s="155" t="s">
        <v>2778</v>
      </c>
      <c r="D10" s="158" t="s">
        <v>2779</v>
      </c>
      <c r="E10" s="161" t="s">
        <v>2780</v>
      </c>
      <c r="F10" s="164" t="s">
        <v>2760</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2751</v>
      </c>
      <c r="B11" s="154" t="s">
        <v>2775</v>
      </c>
      <c r="C11" s="155" t="s">
        <v>2781</v>
      </c>
      <c r="D11" s="158" t="s">
        <v>2782</v>
      </c>
      <c r="E11" s="161" t="s">
        <v>2783</v>
      </c>
      <c r="F11" s="164" t="s">
        <v>2760</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2751</v>
      </c>
      <c r="B12" s="154" t="s">
        <v>2775</v>
      </c>
      <c r="C12" s="155" t="s">
        <v>2784</v>
      </c>
      <c r="D12" s="158" t="s">
        <v>2785</v>
      </c>
      <c r="E12" s="161" t="s">
        <v>2786</v>
      </c>
      <c r="F12" s="164" t="s">
        <v>2760</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2751</v>
      </c>
      <c r="B13" s="153" t="s">
        <v>2787</v>
      </c>
      <c r="C13" s="151" t="s">
        <v>2788</v>
      </c>
      <c r="D13" s="157" t="s">
        <v>2789</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2751</v>
      </c>
      <c r="B14" s="154" t="s">
        <v>2787</v>
      </c>
      <c r="C14" s="155" t="s">
        <v>2790</v>
      </c>
      <c r="D14" s="158" t="s">
        <v>2791</v>
      </c>
      <c r="E14" s="161" t="s">
        <v>2792</v>
      </c>
      <c r="F14" s="164" t="s">
        <v>2760</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2751</v>
      </c>
      <c r="B15" s="154" t="s">
        <v>2787</v>
      </c>
      <c r="C15" s="155" t="s">
        <v>2793</v>
      </c>
      <c r="D15" s="158" t="s">
        <v>2794</v>
      </c>
      <c r="E15" s="161" t="s">
        <v>2795</v>
      </c>
      <c r="F15" s="164" t="s">
        <v>2760</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2751</v>
      </c>
      <c r="B16" s="153" t="s">
        <v>2796</v>
      </c>
      <c r="C16" s="151" t="s">
        <v>2797</v>
      </c>
      <c r="D16" s="157" t="s">
        <v>2798</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2751</v>
      </c>
      <c r="B17" s="154" t="s">
        <v>2796</v>
      </c>
      <c r="C17" s="155" t="s">
        <v>2799</v>
      </c>
      <c r="D17" s="158" t="s">
        <v>2800</v>
      </c>
      <c r="E17" s="161" t="s">
        <v>2801</v>
      </c>
      <c r="F17" s="164" t="s">
        <v>2760</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2751</v>
      </c>
      <c r="B18" s="154" t="s">
        <v>2796</v>
      </c>
      <c r="C18" s="155" t="s">
        <v>2802</v>
      </c>
      <c r="D18" s="158" t="s">
        <v>2803</v>
      </c>
      <c r="E18" s="161" t="s">
        <v>2804</v>
      </c>
      <c r="F18" s="164" t="s">
        <v>2764</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2751</v>
      </c>
      <c r="B19" s="154" t="s">
        <v>2796</v>
      </c>
      <c r="C19" s="155" t="s">
        <v>2805</v>
      </c>
      <c r="D19" s="158" t="s">
        <v>2806</v>
      </c>
      <c r="E19" s="161" t="s">
        <v>2807</v>
      </c>
      <c r="F19" s="164" t="s">
        <v>2760</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2751</v>
      </c>
      <c r="B20" s="154" t="s">
        <v>2796</v>
      </c>
      <c r="C20" s="155" t="s">
        <v>2808</v>
      </c>
      <c r="D20" s="158" t="s">
        <v>2809</v>
      </c>
      <c r="E20" s="161" t="s">
        <v>2810</v>
      </c>
      <c r="F20" s="164" t="s">
        <v>2760</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2751</v>
      </c>
      <c r="B21" s="154" t="s">
        <v>2796</v>
      </c>
      <c r="C21" s="155" t="s">
        <v>2811</v>
      </c>
      <c r="D21" s="158" t="s">
        <v>2812</v>
      </c>
      <c r="E21" s="161" t="s">
        <v>2813</v>
      </c>
      <c r="F21" s="164" t="s">
        <v>2764</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2751</v>
      </c>
      <c r="B22" s="154" t="s">
        <v>2796</v>
      </c>
      <c r="C22" s="155" t="s">
        <v>2814</v>
      </c>
      <c r="D22" s="158" t="s">
        <v>2815</v>
      </c>
      <c r="E22" s="161" t="s">
        <v>2816</v>
      </c>
      <c r="F22" s="164" t="s">
        <v>2760</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2751</v>
      </c>
      <c r="B23" s="154" t="s">
        <v>2796</v>
      </c>
      <c r="C23" s="155" t="s">
        <v>2817</v>
      </c>
      <c r="D23" s="158" t="s">
        <v>2818</v>
      </c>
      <c r="E23" s="161" t="s">
        <v>2819</v>
      </c>
      <c r="F23" s="164" t="s">
        <v>2760</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2751</v>
      </c>
      <c r="B24" s="153" t="s">
        <v>2820</v>
      </c>
      <c r="C24" s="151" t="s">
        <v>2821</v>
      </c>
      <c r="D24" s="157" t="s">
        <v>2822</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2751</v>
      </c>
      <c r="B25" s="154" t="s">
        <v>2820</v>
      </c>
      <c r="C25" s="155" t="s">
        <v>2823</v>
      </c>
      <c r="D25" s="158" t="s">
        <v>2824</v>
      </c>
      <c r="E25" s="161" t="s">
        <v>2825</v>
      </c>
      <c r="F25" s="164" t="s">
        <v>2760</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2751</v>
      </c>
      <c r="B26" s="154" t="s">
        <v>2820</v>
      </c>
      <c r="C26" s="155" t="s">
        <v>2826</v>
      </c>
      <c r="D26" s="158" t="s">
        <v>2827</v>
      </c>
      <c r="E26" s="161" t="s">
        <v>2828</v>
      </c>
      <c r="F26" s="164" t="s">
        <v>2760</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2751</v>
      </c>
      <c r="B27" s="154" t="s">
        <v>2820</v>
      </c>
      <c r="C27" s="155" t="s">
        <v>2829</v>
      </c>
      <c r="D27" s="158" t="s">
        <v>2830</v>
      </c>
      <c r="E27" s="161" t="s">
        <v>2831</v>
      </c>
      <c r="F27" s="164" t="s">
        <v>2764</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2751</v>
      </c>
      <c r="B28" s="154" t="s">
        <v>2820</v>
      </c>
      <c r="C28" s="155" t="s">
        <v>2832</v>
      </c>
      <c r="D28" s="158" t="s">
        <v>2833</v>
      </c>
      <c r="E28" s="161" t="s">
        <v>2834</v>
      </c>
      <c r="F28" s="164" t="s">
        <v>2760</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2751</v>
      </c>
      <c r="B29" s="153" t="s">
        <v>2835</v>
      </c>
      <c r="C29" s="151" t="s">
        <v>2836</v>
      </c>
      <c r="D29" s="157" t="s">
        <v>2837</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2751</v>
      </c>
      <c r="B30" s="154" t="s">
        <v>2835</v>
      </c>
      <c r="C30" s="155" t="s">
        <v>2838</v>
      </c>
      <c r="D30" s="158" t="s">
        <v>2839</v>
      </c>
      <c r="E30" s="161" t="s">
        <v>2840</v>
      </c>
      <c r="F30" s="164" t="s">
        <v>2774</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2751</v>
      </c>
      <c r="B31" s="154" t="s">
        <v>2835</v>
      </c>
      <c r="C31" s="155" t="s">
        <v>2841</v>
      </c>
      <c r="D31" s="158" t="s">
        <v>2842</v>
      </c>
      <c r="E31" s="161" t="s">
        <v>2843</v>
      </c>
      <c r="F31" s="164" t="s">
        <v>2774</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2751</v>
      </c>
      <c r="B32" s="154" t="s">
        <v>2835</v>
      </c>
      <c r="C32" s="155" t="s">
        <v>2844</v>
      </c>
      <c r="D32" s="158" t="s">
        <v>2845</v>
      </c>
      <c r="E32" s="161" t="s">
        <v>2846</v>
      </c>
      <c r="F32" s="164" t="s">
        <v>2774</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2751</v>
      </c>
      <c r="B33" s="154" t="s">
        <v>2835</v>
      </c>
      <c r="C33" s="155" t="s">
        <v>2847</v>
      </c>
      <c r="D33" s="158" t="s">
        <v>2848</v>
      </c>
      <c r="E33" s="161" t="s">
        <v>2849</v>
      </c>
      <c r="F33" s="164" t="s">
        <v>2774</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2751</v>
      </c>
      <c r="B34" s="154" t="s">
        <v>2835</v>
      </c>
      <c r="C34" s="155" t="s">
        <v>2850</v>
      </c>
      <c r="D34" s="158" t="s">
        <v>2851</v>
      </c>
      <c r="E34" s="161" t="s">
        <v>2852</v>
      </c>
      <c r="F34" s="164" t="s">
        <v>2774</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2751</v>
      </c>
      <c r="B35" s="154" t="s">
        <v>2835</v>
      </c>
      <c r="C35" s="155" t="s">
        <v>2853</v>
      </c>
      <c r="D35" s="158" t="s">
        <v>2854</v>
      </c>
      <c r="E35" s="161" t="s">
        <v>2855</v>
      </c>
      <c r="F35" s="164" t="s">
        <v>2774</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2751</v>
      </c>
      <c r="B36" s="154" t="s">
        <v>2835</v>
      </c>
      <c r="C36" s="155" t="s">
        <v>2856</v>
      </c>
      <c r="D36" s="158" t="s">
        <v>2857</v>
      </c>
      <c r="E36" s="161" t="s">
        <v>2858</v>
      </c>
      <c r="F36" s="164" t="s">
        <v>2774</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2751</v>
      </c>
      <c r="B37" s="154" t="s">
        <v>2835</v>
      </c>
      <c r="C37" s="155" t="s">
        <v>2859</v>
      </c>
      <c r="D37" s="158" t="s">
        <v>2860</v>
      </c>
      <c r="E37" s="161" t="s">
        <v>2861</v>
      </c>
      <c r="F37" s="164" t="s">
        <v>2774</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2751</v>
      </c>
      <c r="B38" s="154" t="s">
        <v>2835</v>
      </c>
      <c r="C38" s="155" t="s">
        <v>2862</v>
      </c>
      <c r="D38" s="158" t="s">
        <v>2863</v>
      </c>
      <c r="E38" s="161" t="s">
        <v>2864</v>
      </c>
      <c r="F38" s="164" t="s">
        <v>2774</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2751</v>
      </c>
      <c r="B39" s="154" t="s">
        <v>2835</v>
      </c>
      <c r="C39" s="155" t="s">
        <v>2865</v>
      </c>
      <c r="D39" s="158" t="s">
        <v>2866</v>
      </c>
      <c r="E39" s="161" t="s">
        <v>2867</v>
      </c>
      <c r="F39" s="164" t="s">
        <v>2774</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2868</v>
      </c>
      <c r="B40" s="152" t="s">
        <v>21</v>
      </c>
      <c r="C40" s="150" t="s">
        <v>2869</v>
      </c>
      <c r="D40" s="156" t="s">
        <v>2870</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2868</v>
      </c>
      <c r="B41" s="153" t="s">
        <v>2871</v>
      </c>
      <c r="C41" s="151" t="s">
        <v>2872</v>
      </c>
      <c r="D41" s="157" t="s">
        <v>2873</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2868</v>
      </c>
      <c r="B42" s="154" t="s">
        <v>2871</v>
      </c>
      <c r="C42" s="155" t="s">
        <v>2874</v>
      </c>
      <c r="D42" s="158" t="s">
        <v>2875</v>
      </c>
      <c r="E42" s="161" t="s">
        <v>2876</v>
      </c>
      <c r="F42" s="164" t="s">
        <v>2760</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2868</v>
      </c>
      <c r="B43" s="154" t="s">
        <v>2871</v>
      </c>
      <c r="C43" s="155" t="s">
        <v>2877</v>
      </c>
      <c r="D43" s="158" t="s">
        <v>2878</v>
      </c>
      <c r="E43" s="161" t="s">
        <v>2879</v>
      </c>
      <c r="F43" s="164" t="s">
        <v>2760</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2868</v>
      </c>
      <c r="B44" s="154" t="s">
        <v>2871</v>
      </c>
      <c r="C44" s="155" t="s">
        <v>2880</v>
      </c>
      <c r="D44" s="158" t="s">
        <v>2881</v>
      </c>
      <c r="E44" s="161" t="s">
        <v>2882</v>
      </c>
      <c r="F44" s="164" t="s">
        <v>2764</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2868</v>
      </c>
      <c r="B45" s="154" t="s">
        <v>2871</v>
      </c>
      <c r="C45" s="155" t="s">
        <v>2883</v>
      </c>
      <c r="D45" s="158" t="s">
        <v>2884</v>
      </c>
      <c r="E45" s="161" t="s">
        <v>2885</v>
      </c>
      <c r="F45" s="164" t="s">
        <v>2774</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2868</v>
      </c>
      <c r="B46" s="154" t="s">
        <v>2871</v>
      </c>
      <c r="C46" s="155" t="s">
        <v>2886</v>
      </c>
      <c r="D46" s="158" t="s">
        <v>2887</v>
      </c>
      <c r="E46" s="161" t="s">
        <v>2888</v>
      </c>
      <c r="F46" s="164" t="s">
        <v>2760</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2868</v>
      </c>
      <c r="B47" s="154" t="s">
        <v>2871</v>
      </c>
      <c r="C47" s="155" t="s">
        <v>2889</v>
      </c>
      <c r="D47" s="158" t="s">
        <v>2890</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2868</v>
      </c>
      <c r="B48" s="154" t="s">
        <v>2871</v>
      </c>
      <c r="C48" s="155" t="s">
        <v>2891</v>
      </c>
      <c r="D48" s="158" t="s">
        <v>2892</v>
      </c>
      <c r="E48" s="161" t="s">
        <v>2893</v>
      </c>
      <c r="F48" s="164" t="s">
        <v>2760</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2868</v>
      </c>
      <c r="B49" s="154" t="s">
        <v>2871</v>
      </c>
      <c r="C49" s="155" t="s">
        <v>2894</v>
      </c>
      <c r="D49" s="158" t="s">
        <v>2895</v>
      </c>
      <c r="E49" s="161" t="s">
        <v>2896</v>
      </c>
      <c r="F49" s="164" t="s">
        <v>2764</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2868</v>
      </c>
      <c r="B50" s="153" t="s">
        <v>2897</v>
      </c>
      <c r="C50" s="151" t="s">
        <v>2898</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2868</v>
      </c>
      <c r="B51" s="154" t="s">
        <v>2897</v>
      </c>
      <c r="C51" s="155" t="s">
        <v>2899</v>
      </c>
      <c r="D51" s="158" t="s">
        <v>2900</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2868</v>
      </c>
      <c r="B52" s="154" t="s">
        <v>2897</v>
      </c>
      <c r="C52" s="155" t="s">
        <v>2901</v>
      </c>
      <c r="D52" s="158" t="s">
        <v>2902</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2868</v>
      </c>
      <c r="B53" s="154" t="s">
        <v>2897</v>
      </c>
      <c r="C53" s="155" t="s">
        <v>2903</v>
      </c>
      <c r="D53" s="158" t="s">
        <v>2904</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2868</v>
      </c>
      <c r="B54" s="154" t="s">
        <v>2897</v>
      </c>
      <c r="C54" s="155" t="s">
        <v>2905</v>
      </c>
      <c r="D54" s="158" t="s">
        <v>2906</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2868</v>
      </c>
      <c r="B55" s="154" t="s">
        <v>2897</v>
      </c>
      <c r="C55" s="155" t="s">
        <v>2907</v>
      </c>
      <c r="D55" s="158" t="s">
        <v>2908</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2868</v>
      </c>
      <c r="B56" s="153" t="s">
        <v>1022</v>
      </c>
      <c r="C56" s="151" t="s">
        <v>2909</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2868</v>
      </c>
      <c r="B57" s="154" t="s">
        <v>1022</v>
      </c>
      <c r="C57" s="155" t="s">
        <v>2910</v>
      </c>
      <c r="D57" s="158" t="s">
        <v>2911</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2868</v>
      </c>
      <c r="B58" s="154" t="s">
        <v>1022</v>
      </c>
      <c r="C58" s="155" t="s">
        <v>2912</v>
      </c>
      <c r="D58" s="158" t="s">
        <v>2913</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2868</v>
      </c>
      <c r="B59" s="154" t="s">
        <v>1022</v>
      </c>
      <c r="C59" s="155" t="s">
        <v>2914</v>
      </c>
      <c r="D59" s="158" t="s">
        <v>2915</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2868</v>
      </c>
      <c r="B60" s="154" t="s">
        <v>1022</v>
      </c>
      <c r="C60" s="155" t="s">
        <v>2916</v>
      </c>
      <c r="D60" s="158" t="s">
        <v>2917</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2868</v>
      </c>
      <c r="B61" s="153" t="s">
        <v>2918</v>
      </c>
      <c r="C61" s="151" t="s">
        <v>2919</v>
      </c>
      <c r="D61" s="157" t="s">
        <v>2920</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2868</v>
      </c>
      <c r="B62" s="154" t="s">
        <v>2918</v>
      </c>
      <c r="C62" s="155" t="s">
        <v>2921</v>
      </c>
      <c r="D62" s="158" t="s">
        <v>2922</v>
      </c>
      <c r="E62" s="161" t="s">
        <v>2923</v>
      </c>
      <c r="F62" s="164" t="s">
        <v>2760</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2868</v>
      </c>
      <c r="B63" s="154" t="s">
        <v>2918</v>
      </c>
      <c r="C63" s="155" t="s">
        <v>2924</v>
      </c>
      <c r="D63" s="158" t="s">
        <v>2925</v>
      </c>
      <c r="E63" s="161" t="s">
        <v>2926</v>
      </c>
      <c r="F63" s="164" t="s">
        <v>2764</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2868</v>
      </c>
      <c r="B64" s="154" t="s">
        <v>2918</v>
      </c>
      <c r="C64" s="155" t="s">
        <v>2927</v>
      </c>
      <c r="D64" s="158" t="s">
        <v>2928</v>
      </c>
      <c r="E64" s="161" t="s">
        <v>2929</v>
      </c>
      <c r="F64" s="164" t="s">
        <v>2760</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2868</v>
      </c>
      <c r="B65" s="154" t="s">
        <v>2918</v>
      </c>
      <c r="C65" s="155" t="s">
        <v>2930</v>
      </c>
      <c r="D65" s="158" t="s">
        <v>2931</v>
      </c>
      <c r="E65" s="161" t="s">
        <v>2932</v>
      </c>
      <c r="F65" s="164" t="s">
        <v>2760</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2868</v>
      </c>
      <c r="B66" s="153" t="s">
        <v>2526</v>
      </c>
      <c r="C66" s="151" t="s">
        <v>2933</v>
      </c>
      <c r="D66" s="157" t="s">
        <v>2934</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2868</v>
      </c>
      <c r="B67" s="154" t="s">
        <v>2526</v>
      </c>
      <c r="C67" s="155" t="s">
        <v>2935</v>
      </c>
      <c r="D67" s="158" t="s">
        <v>2936</v>
      </c>
      <c r="E67" s="161" t="s">
        <v>2937</v>
      </c>
      <c r="F67" s="164" t="s">
        <v>2760</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2868</v>
      </c>
      <c r="B68" s="154" t="s">
        <v>2526</v>
      </c>
      <c r="C68" s="155" t="s">
        <v>2938</v>
      </c>
      <c r="D68" s="158" t="s">
        <v>2939</v>
      </c>
      <c r="E68" s="161" t="s">
        <v>2940</v>
      </c>
      <c r="F68" s="164" t="s">
        <v>2760</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2868</v>
      </c>
      <c r="B69" s="154" t="s">
        <v>2526</v>
      </c>
      <c r="C69" s="155" t="s">
        <v>2941</v>
      </c>
      <c r="D69" s="158" t="s">
        <v>2942</v>
      </c>
      <c r="E69" s="161" t="s">
        <v>2943</v>
      </c>
      <c r="F69" s="164" t="s">
        <v>2764</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2868</v>
      </c>
      <c r="B70" s="154" t="s">
        <v>2526</v>
      </c>
      <c r="C70" s="155" t="s">
        <v>2944</v>
      </c>
      <c r="D70" s="158" t="s">
        <v>2945</v>
      </c>
      <c r="E70" s="161" t="s">
        <v>2946</v>
      </c>
      <c r="F70" s="164" t="s">
        <v>2760</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2868</v>
      </c>
      <c r="B71" s="154" t="s">
        <v>2526</v>
      </c>
      <c r="C71" s="155" t="s">
        <v>2947</v>
      </c>
      <c r="D71" s="158" t="s">
        <v>2948</v>
      </c>
      <c r="E71" s="161" t="s">
        <v>2949</v>
      </c>
      <c r="F71" s="164" t="s">
        <v>2760</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2868</v>
      </c>
      <c r="B72" s="154" t="s">
        <v>2526</v>
      </c>
      <c r="C72" s="155" t="s">
        <v>2950</v>
      </c>
      <c r="D72" s="158" t="s">
        <v>2951</v>
      </c>
      <c r="E72" s="161" t="s">
        <v>2952</v>
      </c>
      <c r="F72" s="164" t="s">
        <v>2760</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2868</v>
      </c>
      <c r="B73" s="154" t="s">
        <v>2526</v>
      </c>
      <c r="C73" s="155" t="s">
        <v>2953</v>
      </c>
      <c r="D73" s="158" t="s">
        <v>2954</v>
      </c>
      <c r="E73" s="161" t="s">
        <v>2955</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2868</v>
      </c>
      <c r="B74" s="154" t="s">
        <v>2526</v>
      </c>
      <c r="C74" s="155" t="s">
        <v>2956</v>
      </c>
      <c r="D74" s="158" t="s">
        <v>2957</v>
      </c>
      <c r="E74" s="161" t="s">
        <v>2958</v>
      </c>
      <c r="F74" s="164" t="s">
        <v>2764</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2868</v>
      </c>
      <c r="B75" s="154" t="s">
        <v>2526</v>
      </c>
      <c r="C75" s="155" t="s">
        <v>2959</v>
      </c>
      <c r="D75" s="158" t="s">
        <v>2960</v>
      </c>
      <c r="E75" s="161" t="s">
        <v>2961</v>
      </c>
      <c r="F75" s="164" t="s">
        <v>2774</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2868</v>
      </c>
      <c r="B76" s="154" t="s">
        <v>2526</v>
      </c>
      <c r="C76" s="155" t="s">
        <v>2962</v>
      </c>
      <c r="D76" s="158" t="s">
        <v>2963</v>
      </c>
      <c r="E76" s="161" t="s">
        <v>2964</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2868</v>
      </c>
      <c r="B77" s="153" t="s">
        <v>2796</v>
      </c>
      <c r="C77" s="151" t="s">
        <v>2965</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2868</v>
      </c>
      <c r="B78" s="154" t="s">
        <v>2796</v>
      </c>
      <c r="C78" s="155" t="s">
        <v>2966</v>
      </c>
      <c r="D78" s="158" t="s">
        <v>2967</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2868</v>
      </c>
      <c r="B79" s="154" t="s">
        <v>2796</v>
      </c>
      <c r="C79" s="155" t="s">
        <v>2968</v>
      </c>
      <c r="D79" s="158" t="s">
        <v>2969</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2868</v>
      </c>
      <c r="B80" s="154" t="s">
        <v>2796</v>
      </c>
      <c r="C80" s="155" t="s">
        <v>2970</v>
      </c>
      <c r="D80" s="158" t="s">
        <v>2971</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2868</v>
      </c>
      <c r="B81" s="153" t="s">
        <v>2724</v>
      </c>
      <c r="C81" s="151" t="s">
        <v>2972</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2868</v>
      </c>
      <c r="B82" s="154" t="s">
        <v>2724</v>
      </c>
      <c r="C82" s="155" t="s">
        <v>2973</v>
      </c>
      <c r="D82" s="158" t="s">
        <v>2974</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2868</v>
      </c>
      <c r="B83" s="154" t="s">
        <v>2724</v>
      </c>
      <c r="C83" s="155" t="s">
        <v>2975</v>
      </c>
      <c r="D83" s="158" t="s">
        <v>2976</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2868</v>
      </c>
      <c r="B84" s="154" t="s">
        <v>2724</v>
      </c>
      <c r="C84" s="155" t="s">
        <v>2977</v>
      </c>
      <c r="D84" s="158" t="s">
        <v>2978</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2868</v>
      </c>
      <c r="B85" s="154" t="s">
        <v>2724</v>
      </c>
      <c r="C85" s="155" t="s">
        <v>2979</v>
      </c>
      <c r="D85" s="158" t="s">
        <v>2980</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2868</v>
      </c>
      <c r="B86" s="154" t="s">
        <v>2724</v>
      </c>
      <c r="C86" s="155" t="s">
        <v>2981</v>
      </c>
      <c r="D86" s="158" t="s">
        <v>2982</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2983</v>
      </c>
      <c r="B87" s="152" t="s">
        <v>21</v>
      </c>
      <c r="C87" s="150" t="s">
        <v>2984</v>
      </c>
      <c r="D87" s="156" t="s">
        <v>2985</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2983</v>
      </c>
      <c r="B88" s="153" t="s">
        <v>2986</v>
      </c>
      <c r="C88" s="151" t="s">
        <v>2987</v>
      </c>
      <c r="D88" s="157" t="s">
        <v>2988</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2983</v>
      </c>
      <c r="B89" s="154" t="s">
        <v>2986</v>
      </c>
      <c r="C89" s="155" t="s">
        <v>2989</v>
      </c>
      <c r="D89" s="158" t="s">
        <v>2990</v>
      </c>
      <c r="E89" s="161" t="s">
        <v>2991</v>
      </c>
      <c r="F89" s="164" t="s">
        <v>2760</v>
      </c>
      <c r="G89" s="167">
        <f>IF(COUNTIF(H89:AU89,"&lt;&gt;")=0,"",SUMPRODUCT(((Recommendations[ImplStatus]="Implemented")+(Recommendations[ImplStatus]="Compensated"))*ISNUMBER(MATCH(Recommendations[Id],H89:AU89,0)))/COUNTIF(H89:AU89,"&lt;&gt;"))</f>
        <v>0</v>
      </c>
      <c r="H89" s="170" t="s">
        <v>25</v>
      </c>
      <c r="I89" s="170" t="s">
        <v>31</v>
      </c>
      <c r="J89" s="170" t="s">
        <v>41</v>
      </c>
      <c r="K89" s="170" t="s">
        <v>46</v>
      </c>
      <c r="L89" s="170" t="s">
        <v>159</v>
      </c>
      <c r="M89" s="170" t="s">
        <v>169</v>
      </c>
      <c r="N89" s="170" t="s">
        <v>174</v>
      </c>
      <c r="O89" s="170" t="s">
        <v>179</v>
      </c>
      <c r="P89" s="170" t="s">
        <v>198</v>
      </c>
      <c r="Q89" s="170" t="s">
        <v>373</v>
      </c>
      <c r="R89" s="170" t="s">
        <v>377</v>
      </c>
      <c r="S89" s="170" t="s">
        <v>388</v>
      </c>
      <c r="T89" s="170" t="s">
        <v>413</v>
      </c>
      <c r="U89" s="170" t="s">
        <v>475</v>
      </c>
      <c r="V89" s="170" t="s">
        <v>480</v>
      </c>
      <c r="W89" s="170" t="s">
        <v>490</v>
      </c>
      <c r="X89" s="170" t="s">
        <v>530</v>
      </c>
      <c r="Y89" s="170" t="s">
        <v>544</v>
      </c>
      <c r="Z89" s="170" t="s">
        <v>549</v>
      </c>
      <c r="AA89" s="170" t="s">
        <v>553</v>
      </c>
      <c r="AB89" s="170" t="s">
        <v>557</v>
      </c>
      <c r="AC89" s="170" t="s">
        <v>561</v>
      </c>
      <c r="AD89" s="170" t="s">
        <v>565</v>
      </c>
      <c r="AE89" s="170" t="s">
        <v>569</v>
      </c>
      <c r="AF89" s="170" t="s">
        <v>573</v>
      </c>
      <c r="AG89" s="170"/>
      <c r="AH89" s="170"/>
      <c r="AI89" s="170"/>
      <c r="AJ89" s="170"/>
      <c r="AK89" s="170"/>
      <c r="AL89" s="170"/>
      <c r="AM89" s="170"/>
      <c r="AN89" s="170"/>
      <c r="AO89" s="170"/>
      <c r="AP89" s="170"/>
      <c r="AQ89" s="170"/>
      <c r="AR89" s="170"/>
      <c r="AS89" s="170"/>
      <c r="AT89" s="170"/>
      <c r="AU89" s="184"/>
    </row>
    <row r="90" spans="1:47" ht="60" customHeight="1" x14ac:dyDescent="0.35">
      <c r="A90" s="180" t="s">
        <v>2983</v>
      </c>
      <c r="B90" s="154" t="s">
        <v>2986</v>
      </c>
      <c r="C90" s="155" t="s">
        <v>2992</v>
      </c>
      <c r="D90" s="158" t="s">
        <v>2993</v>
      </c>
      <c r="E90" s="161" t="s">
        <v>2994</v>
      </c>
      <c r="F90" s="164" t="s">
        <v>2764</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2983</v>
      </c>
      <c r="B91" s="154" t="s">
        <v>2986</v>
      </c>
      <c r="C91" s="155" t="s">
        <v>2995</v>
      </c>
      <c r="D91" s="158" t="s">
        <v>2996</v>
      </c>
      <c r="E91" s="161" t="s">
        <v>2997</v>
      </c>
      <c r="F91" s="164" t="s">
        <v>2760</v>
      </c>
      <c r="G91" s="167">
        <f>IF(COUNTIF(H91:AU91,"&lt;&gt;")=0,"",SUMPRODUCT(((Recommendations[ImplStatus]="Implemented")+(Recommendations[ImplStatus]="Compensated"))*ISNUMBER(MATCH(Recommendations[Id],H91:AU91,0)))/COUNTIF(H91:AU91,"&lt;&gt;"))</f>
        <v>0</v>
      </c>
      <c r="H91" s="170" t="s">
        <v>89</v>
      </c>
      <c r="I91" s="170" t="s">
        <v>198</v>
      </c>
      <c r="J91" s="170" t="s">
        <v>213</v>
      </c>
      <c r="K91" s="170" t="s">
        <v>273</v>
      </c>
      <c r="L91" s="170" t="s">
        <v>373</v>
      </c>
      <c r="M91" s="170" t="s">
        <v>413</v>
      </c>
      <c r="N91" s="170" t="s">
        <v>624</v>
      </c>
      <c r="O91" s="170" t="s">
        <v>654</v>
      </c>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2983</v>
      </c>
      <c r="B92" s="154" t="s">
        <v>2986</v>
      </c>
      <c r="C92" s="155" t="s">
        <v>2998</v>
      </c>
      <c r="D92" s="158" t="s">
        <v>2999</v>
      </c>
      <c r="E92" s="161" t="s">
        <v>3000</v>
      </c>
      <c r="F92" s="164" t="s">
        <v>2760</v>
      </c>
      <c r="G92" s="167">
        <f>IF(COUNTIF(H92:AU92,"&lt;&gt;")=0,"",SUMPRODUCT(((Recommendations[ImplStatus]="Implemented")+(Recommendations[ImplStatus]="Compensated"))*ISNUMBER(MATCH(Recommendations[Id],H92:AU92,0)))/COUNTIF(H92:AU92,"&lt;&gt;"))</f>
        <v>0</v>
      </c>
      <c r="H92" s="170" t="s">
        <v>203</v>
      </c>
      <c r="I92" s="170" t="s">
        <v>213</v>
      </c>
      <c r="J92" s="170" t="s">
        <v>368</v>
      </c>
      <c r="K92" s="170" t="s">
        <v>619</v>
      </c>
      <c r="L92" s="170" t="s">
        <v>624</v>
      </c>
      <c r="M92" s="170" t="s">
        <v>629</v>
      </c>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2983</v>
      </c>
      <c r="B93" s="154" t="s">
        <v>2986</v>
      </c>
      <c r="C93" s="155" t="s">
        <v>3001</v>
      </c>
      <c r="D93" s="158" t="s">
        <v>3002</v>
      </c>
      <c r="E93" s="161" t="s">
        <v>3003</v>
      </c>
      <c r="F93" s="164" t="s">
        <v>2760</v>
      </c>
      <c r="G93" s="167">
        <f>IF(COUNTIF(H93:AU93,"&lt;&gt;")=0,"",SUMPRODUCT(((Recommendations[ImplStatus]="Implemented")+(Recommendations[ImplStatus]="Compensated"))*ISNUMBER(MATCH(Recommendations[Id],H93:AU93,0)))/COUNTIF(H93:AU93,"&lt;&gt;"))</f>
        <v>0</v>
      </c>
      <c r="H93" s="170" t="s">
        <v>14</v>
      </c>
      <c r="I93" s="170" t="s">
        <v>84</v>
      </c>
      <c r="J93" s="170" t="s">
        <v>144</v>
      </c>
      <c r="K93" s="170" t="s">
        <v>149</v>
      </c>
      <c r="L93" s="170" t="s">
        <v>208</v>
      </c>
      <c r="M93" s="170" t="s">
        <v>218</v>
      </c>
      <c r="N93" s="170" t="s">
        <v>223</v>
      </c>
      <c r="O93" s="170" t="s">
        <v>228</v>
      </c>
      <c r="P93" s="170" t="s">
        <v>348</v>
      </c>
      <c r="Q93" s="170" t="s">
        <v>383</v>
      </c>
      <c r="R93" s="170" t="s">
        <v>393</v>
      </c>
      <c r="S93" s="170" t="s">
        <v>398</v>
      </c>
      <c r="T93" s="170" t="s">
        <v>418</v>
      </c>
      <c r="U93" s="170" t="s">
        <v>470</v>
      </c>
      <c r="V93" s="170" t="s">
        <v>490</v>
      </c>
      <c r="W93" s="170" t="s">
        <v>495</v>
      </c>
      <c r="X93" s="170" t="s">
        <v>510</v>
      </c>
      <c r="Y93" s="170" t="s">
        <v>520</v>
      </c>
      <c r="Z93" s="170" t="s">
        <v>525</v>
      </c>
      <c r="AA93" s="170" t="s">
        <v>590</v>
      </c>
      <c r="AB93" s="170" t="s">
        <v>613</v>
      </c>
      <c r="AC93" s="170" t="s">
        <v>644</v>
      </c>
      <c r="AD93" s="170" t="s">
        <v>649</v>
      </c>
      <c r="AE93" s="170" t="s">
        <v>674</v>
      </c>
      <c r="AF93" s="170" t="s">
        <v>800</v>
      </c>
      <c r="AG93" s="170" t="s">
        <v>815</v>
      </c>
      <c r="AH93" s="170" t="s">
        <v>840</v>
      </c>
      <c r="AI93" s="170" t="s">
        <v>845</v>
      </c>
      <c r="AJ93" s="170"/>
      <c r="AK93" s="170"/>
      <c r="AL93" s="170"/>
      <c r="AM93" s="170"/>
      <c r="AN93" s="170"/>
      <c r="AO93" s="170"/>
      <c r="AP93" s="170"/>
      <c r="AQ93" s="170"/>
      <c r="AR93" s="170"/>
      <c r="AS93" s="170"/>
      <c r="AT93" s="170"/>
      <c r="AU93" s="184"/>
    </row>
    <row r="94" spans="1:47" ht="60" customHeight="1" x14ac:dyDescent="0.35">
      <c r="A94" s="180" t="s">
        <v>2983</v>
      </c>
      <c r="B94" s="154" t="s">
        <v>2986</v>
      </c>
      <c r="C94" s="155" t="s">
        <v>3004</v>
      </c>
      <c r="D94" s="158" t="s">
        <v>3005</v>
      </c>
      <c r="E94" s="161" t="s">
        <v>3006</v>
      </c>
      <c r="F94" s="164" t="s">
        <v>2764</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2983</v>
      </c>
      <c r="B95" s="153" t="s">
        <v>3007</v>
      </c>
      <c r="C95" s="151" t="s">
        <v>3008</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2983</v>
      </c>
      <c r="B96" s="154" t="s">
        <v>3007</v>
      </c>
      <c r="C96" s="155" t="s">
        <v>3009</v>
      </c>
      <c r="D96" s="158" t="s">
        <v>3010</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2983</v>
      </c>
      <c r="B97" s="154" t="s">
        <v>3007</v>
      </c>
      <c r="C97" s="155" t="s">
        <v>3011</v>
      </c>
      <c r="D97" s="158" t="s">
        <v>3012</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2983</v>
      </c>
      <c r="B98" s="154" t="s">
        <v>3007</v>
      </c>
      <c r="C98" s="155" t="s">
        <v>3013</v>
      </c>
      <c r="D98" s="158" t="s">
        <v>3014</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2983</v>
      </c>
      <c r="B99" s="154" t="s">
        <v>3007</v>
      </c>
      <c r="C99" s="155" t="s">
        <v>3015</v>
      </c>
      <c r="D99" s="158" t="s">
        <v>3016</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2983</v>
      </c>
      <c r="B100" s="154" t="s">
        <v>3007</v>
      </c>
      <c r="C100" s="155" t="s">
        <v>3017</v>
      </c>
      <c r="D100" s="158" t="s">
        <v>3018</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2983</v>
      </c>
      <c r="B101" s="154" t="s">
        <v>3007</v>
      </c>
      <c r="C101" s="155" t="s">
        <v>3019</v>
      </c>
      <c r="D101" s="158" t="s">
        <v>3020</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2983</v>
      </c>
      <c r="B102" s="154" t="s">
        <v>3007</v>
      </c>
      <c r="C102" s="155" t="s">
        <v>3021</v>
      </c>
      <c r="D102" s="158" t="s">
        <v>3022</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2983</v>
      </c>
      <c r="B103" s="153" t="s">
        <v>2167</v>
      </c>
      <c r="C103" s="151" t="s">
        <v>3023</v>
      </c>
      <c r="D103" s="157" t="s">
        <v>3024</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2983</v>
      </c>
      <c r="B104" s="154" t="s">
        <v>2167</v>
      </c>
      <c r="C104" s="155" t="s">
        <v>3025</v>
      </c>
      <c r="D104" s="158" t="s">
        <v>3026</v>
      </c>
      <c r="E104" s="161" t="s">
        <v>3027</v>
      </c>
      <c r="F104" s="164" t="s">
        <v>2760</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2983</v>
      </c>
      <c r="B105" s="154" t="s">
        <v>2167</v>
      </c>
      <c r="C105" s="155" t="s">
        <v>3028</v>
      </c>
      <c r="D105" s="158" t="s">
        <v>3029</v>
      </c>
      <c r="E105" s="161" t="s">
        <v>3030</v>
      </c>
      <c r="F105" s="164" t="s">
        <v>2764</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2983</v>
      </c>
      <c r="B106" s="154" t="s">
        <v>2167</v>
      </c>
      <c r="C106" s="155" t="s">
        <v>3031</v>
      </c>
      <c r="D106" s="158" t="s">
        <v>3032</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2983</v>
      </c>
      <c r="B107" s="154" t="s">
        <v>2167</v>
      </c>
      <c r="C107" s="155" t="s">
        <v>3033</v>
      </c>
      <c r="D107" s="158" t="s">
        <v>3034</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2983</v>
      </c>
      <c r="B108" s="154" t="s">
        <v>2167</v>
      </c>
      <c r="C108" s="155" t="s">
        <v>3035</v>
      </c>
      <c r="D108" s="158" t="s">
        <v>3036</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2983</v>
      </c>
      <c r="B109" s="153" t="s">
        <v>3037</v>
      </c>
      <c r="C109" s="151" t="s">
        <v>3038</v>
      </c>
      <c r="D109" s="157" t="s">
        <v>3039</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2983</v>
      </c>
      <c r="B110" s="154" t="s">
        <v>3037</v>
      </c>
      <c r="C110" s="155" t="s">
        <v>3040</v>
      </c>
      <c r="D110" s="158" t="s">
        <v>3041</v>
      </c>
      <c r="E110" s="161" t="s">
        <v>3042</v>
      </c>
      <c r="F110" s="164" t="s">
        <v>2760</v>
      </c>
      <c r="G110" s="167">
        <f>IF(COUNTIF(H110:AU110,"&lt;&gt;")=0,"",SUMPRODUCT(((Recommendations[ImplStatus]="Implemented")+(Recommendations[ImplStatus]="Compensated"))*ISNUMBER(MATCH(Recommendations[Id],H110:AU110,0)))/COUNTIF(H110:AU110,"&lt;&gt;"))</f>
        <v>0</v>
      </c>
      <c r="H110" s="170" t="s">
        <v>659</v>
      </c>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2983</v>
      </c>
      <c r="B111" s="154" t="s">
        <v>3037</v>
      </c>
      <c r="C111" s="155" t="s">
        <v>3043</v>
      </c>
      <c r="D111" s="158" t="s">
        <v>3044</v>
      </c>
      <c r="E111" s="161" t="s">
        <v>3045</v>
      </c>
      <c r="F111" s="164" t="s">
        <v>2760</v>
      </c>
      <c r="G111" s="167">
        <f>IF(COUNTIF(H111:AU111,"&lt;&gt;")=0,"",SUMPRODUCT(((Recommendations[ImplStatus]="Implemented")+(Recommendations[ImplStatus]="Compensated"))*ISNUMBER(MATCH(Recommendations[Id],H111:AU111,0)))/COUNTIF(H111:AU111,"&lt;&gt;"))</f>
        <v>0</v>
      </c>
      <c r="H111" s="170" t="s">
        <v>63</v>
      </c>
      <c r="I111" s="170" t="s">
        <v>99</v>
      </c>
      <c r="J111" s="170" t="s">
        <v>465</v>
      </c>
      <c r="K111" s="170" t="s">
        <v>614</v>
      </c>
      <c r="L111" s="170" t="s">
        <v>669</v>
      </c>
      <c r="M111" s="170" t="s">
        <v>855</v>
      </c>
      <c r="N111" s="170" t="s">
        <v>860</v>
      </c>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2983</v>
      </c>
      <c r="B112" s="154" t="s">
        <v>3037</v>
      </c>
      <c r="C112" s="155" t="s">
        <v>3046</v>
      </c>
      <c r="D112" s="158" t="s">
        <v>3047</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2983</v>
      </c>
      <c r="B113" s="154" t="s">
        <v>3037</v>
      </c>
      <c r="C113" s="155" t="s">
        <v>3048</v>
      </c>
      <c r="D113" s="158" t="s">
        <v>3049</v>
      </c>
      <c r="E113" s="161"/>
      <c r="F113" s="164" t="s">
        <v>21</v>
      </c>
      <c r="G113" s="167">
        <f>IF(COUNTIF(H113:AU113,"&lt;&gt;")=0,"",SUMPRODUCT(((Recommendations[ImplStatus]="Implemented")+(Recommendations[ImplStatus]="Compensated"))*ISNUMBER(MATCH(Recommendations[Id],H113:AU113,0)))/COUNTIF(H113:AU113,"&lt;&gt;"))</f>
        <v>0</v>
      </c>
      <c r="H113" s="170" t="s">
        <v>403</v>
      </c>
      <c r="I113" s="170" t="s">
        <v>810</v>
      </c>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2983</v>
      </c>
      <c r="B114" s="154" t="s">
        <v>3037</v>
      </c>
      <c r="C114" s="155" t="s">
        <v>3050</v>
      </c>
      <c r="D114" s="158" t="s">
        <v>3051</v>
      </c>
      <c r="E114" s="161"/>
      <c r="F114" s="164" t="s">
        <v>21</v>
      </c>
      <c r="G114" s="167">
        <f>IF(COUNTIF(H114:AU114,"&lt;&gt;")=0,"",SUMPRODUCT(((Recommendations[ImplStatus]="Implemented")+(Recommendations[ImplStatus]="Compensated"))*ISNUMBER(MATCH(Recommendations[Id],H114:AU114,0)))/COUNTIF(H114:AU114,"&lt;&gt;"))</f>
        <v>0</v>
      </c>
      <c r="H114" s="170" t="s">
        <v>443</v>
      </c>
      <c r="I114" s="170" t="s">
        <v>664</v>
      </c>
      <c r="J114" s="170" t="s">
        <v>684</v>
      </c>
      <c r="K114" s="170" t="s">
        <v>690</v>
      </c>
      <c r="L114" s="170" t="s">
        <v>694</v>
      </c>
      <c r="M114" s="170" t="s">
        <v>698</v>
      </c>
      <c r="N114" s="170" t="s">
        <v>717</v>
      </c>
      <c r="O114" s="170" t="s">
        <v>820</v>
      </c>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2983</v>
      </c>
      <c r="B115" s="154" t="s">
        <v>3037</v>
      </c>
      <c r="C115" s="155" t="s">
        <v>3052</v>
      </c>
      <c r="D115" s="158" t="s">
        <v>3053</v>
      </c>
      <c r="E115" s="161"/>
      <c r="F115" s="164" t="s">
        <v>21</v>
      </c>
      <c r="G115" s="167">
        <f>IF(COUNTIF(H115:AU115,"&lt;&gt;")=0,"",SUMPRODUCT(((Recommendations[ImplStatus]="Implemented")+(Recommendations[ImplStatus]="Compensated"))*ISNUMBER(MATCH(Recommendations[Id],H115:AU115,0)))/COUNTIF(H115:AU115,"&lt;&gt;"))</f>
        <v>0</v>
      </c>
      <c r="H115" s="170" t="s">
        <v>248</v>
      </c>
      <c r="I115" s="170" t="s">
        <v>353</v>
      </c>
      <c r="J115" s="170" t="s">
        <v>363</v>
      </c>
      <c r="K115" s="170" t="s">
        <v>535</v>
      </c>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2983</v>
      </c>
      <c r="B116" s="154" t="s">
        <v>3037</v>
      </c>
      <c r="C116" s="155" t="s">
        <v>3054</v>
      </c>
      <c r="D116" s="158" t="s">
        <v>3055</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2983</v>
      </c>
      <c r="B117" s="154" t="s">
        <v>3037</v>
      </c>
      <c r="C117" s="155" t="s">
        <v>3056</v>
      </c>
      <c r="D117" s="158" t="s">
        <v>3057</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2983</v>
      </c>
      <c r="B118" s="154" t="s">
        <v>3037</v>
      </c>
      <c r="C118" s="155" t="s">
        <v>3058</v>
      </c>
      <c r="D118" s="158" t="s">
        <v>3059</v>
      </c>
      <c r="E118" s="161" t="s">
        <v>3060</v>
      </c>
      <c r="F118" s="164" t="s">
        <v>2760</v>
      </c>
      <c r="G118" s="167">
        <f>IF(COUNTIF(H118:AU118,"&lt;&gt;")=0,"",SUMPRODUCT(((Recommendations[ImplStatus]="Implemented")+(Recommendations[ImplStatus]="Compensated"))*ISNUMBER(MATCH(Recommendations[Id],H118:AU118,0)))/COUNTIF(H118:AU118,"&lt;&gt;"))</f>
        <v>0</v>
      </c>
      <c r="H118" s="170" t="s">
        <v>278</v>
      </c>
      <c r="I118" s="170" t="s">
        <v>825</v>
      </c>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2983</v>
      </c>
      <c r="B119" s="154" t="s">
        <v>3037</v>
      </c>
      <c r="C119" s="155" t="s">
        <v>3061</v>
      </c>
      <c r="D119" s="158" t="s">
        <v>3062</v>
      </c>
      <c r="E119" s="161" t="s">
        <v>3063</v>
      </c>
      <c r="F119" s="164" t="s">
        <v>2760</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2983</v>
      </c>
      <c r="B120" s="153" t="s">
        <v>3064</v>
      </c>
      <c r="C120" s="151" t="s">
        <v>3065</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2983</v>
      </c>
      <c r="B121" s="154" t="s">
        <v>3064</v>
      </c>
      <c r="C121" s="155" t="s">
        <v>3066</v>
      </c>
      <c r="D121" s="158" t="s">
        <v>3067</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2983</v>
      </c>
      <c r="B122" s="154" t="s">
        <v>3064</v>
      </c>
      <c r="C122" s="155" t="s">
        <v>3068</v>
      </c>
      <c r="D122" s="158" t="s">
        <v>3069</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2983</v>
      </c>
      <c r="B123" s="154" t="s">
        <v>3064</v>
      </c>
      <c r="C123" s="155" t="s">
        <v>3070</v>
      </c>
      <c r="D123" s="158" t="s">
        <v>3071</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2983</v>
      </c>
      <c r="B124" s="154" t="s">
        <v>3064</v>
      </c>
      <c r="C124" s="155" t="s">
        <v>3072</v>
      </c>
      <c r="D124" s="158" t="s">
        <v>3073</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2983</v>
      </c>
      <c r="B125" s="154" t="s">
        <v>3064</v>
      </c>
      <c r="C125" s="155" t="s">
        <v>3074</v>
      </c>
      <c r="D125" s="158" t="s">
        <v>3075</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2983</v>
      </c>
      <c r="B126" s="154" t="s">
        <v>3064</v>
      </c>
      <c r="C126" s="155" t="s">
        <v>3076</v>
      </c>
      <c r="D126" s="158" t="s">
        <v>3077</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2983</v>
      </c>
      <c r="B127" s="154" t="s">
        <v>3064</v>
      </c>
      <c r="C127" s="155" t="s">
        <v>3078</v>
      </c>
      <c r="D127" s="158" t="s">
        <v>3079</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2983</v>
      </c>
      <c r="B128" s="154" t="s">
        <v>3064</v>
      </c>
      <c r="C128" s="155" t="s">
        <v>3080</v>
      </c>
      <c r="D128" s="158" t="s">
        <v>3081</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2983</v>
      </c>
      <c r="B129" s="154" t="s">
        <v>3064</v>
      </c>
      <c r="C129" s="155" t="s">
        <v>3082</v>
      </c>
      <c r="D129" s="158" t="s">
        <v>3083</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2983</v>
      </c>
      <c r="B130" s="154" t="s">
        <v>3064</v>
      </c>
      <c r="C130" s="155" t="s">
        <v>3084</v>
      </c>
      <c r="D130" s="158" t="s">
        <v>3085</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2983</v>
      </c>
      <c r="B131" s="154" t="s">
        <v>3064</v>
      </c>
      <c r="C131" s="155" t="s">
        <v>3086</v>
      </c>
      <c r="D131" s="158" t="s">
        <v>3087</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2983</v>
      </c>
      <c r="B132" s="154" t="s">
        <v>3064</v>
      </c>
      <c r="C132" s="155" t="s">
        <v>3088</v>
      </c>
      <c r="D132" s="158" t="s">
        <v>3089</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2983</v>
      </c>
      <c r="B133" s="153" t="s">
        <v>3090</v>
      </c>
      <c r="C133" s="151" t="s">
        <v>3091</v>
      </c>
      <c r="D133" s="157" t="s">
        <v>3092</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2983</v>
      </c>
      <c r="B134" s="154" t="s">
        <v>3090</v>
      </c>
      <c r="C134" s="155" t="s">
        <v>3093</v>
      </c>
      <c r="D134" s="158" t="s">
        <v>3094</v>
      </c>
      <c r="E134" s="161" t="s">
        <v>3095</v>
      </c>
      <c r="F134" s="164" t="s">
        <v>2764</v>
      </c>
      <c r="G134" s="167">
        <f>IF(COUNTIF(H134:AU134,"&lt;&gt;")=0,"",SUMPRODUCT(((Recommendations[ImplStatus]="Implemented")+(Recommendations[ImplStatus]="Compensated"))*ISNUMBER(MATCH(Recommendations[Id],H134:AU134,0)))/COUNTIF(H134:AU134,"&lt;&gt;"))</f>
        <v>0</v>
      </c>
      <c r="H134" s="170" t="s">
        <v>253</v>
      </c>
      <c r="I134" s="170" t="s">
        <v>258</v>
      </c>
      <c r="J134" s="170" t="s">
        <v>263</v>
      </c>
      <c r="K134" s="170" t="s">
        <v>283</v>
      </c>
      <c r="L134" s="170" t="s">
        <v>288</v>
      </c>
      <c r="M134" s="170" t="s">
        <v>298</v>
      </c>
      <c r="N134" s="170" t="s">
        <v>303</v>
      </c>
      <c r="O134" s="170" t="s">
        <v>308</v>
      </c>
      <c r="P134" s="170" t="s">
        <v>318</v>
      </c>
      <c r="Q134" s="170" t="s">
        <v>323</v>
      </c>
      <c r="R134" s="170" t="s">
        <v>328</v>
      </c>
      <c r="S134" s="170" t="s">
        <v>428</v>
      </c>
      <c r="T134" s="170" t="s">
        <v>433</v>
      </c>
      <c r="U134" s="170" t="s">
        <v>438</v>
      </c>
      <c r="V134" s="170" t="s">
        <v>453</v>
      </c>
      <c r="W134" s="170" t="s">
        <v>457</v>
      </c>
      <c r="X134" s="170" t="s">
        <v>461</v>
      </c>
      <c r="Y134" s="170" t="s">
        <v>515</v>
      </c>
      <c r="Z134" s="170" t="s">
        <v>593</v>
      </c>
      <c r="AA134" s="170" t="s">
        <v>603</v>
      </c>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2983</v>
      </c>
      <c r="B135" s="154" t="s">
        <v>3090</v>
      </c>
      <c r="C135" s="155" t="s">
        <v>3096</v>
      </c>
      <c r="D135" s="158" t="s">
        <v>3097</v>
      </c>
      <c r="E135" s="161" t="s">
        <v>3098</v>
      </c>
      <c r="F135" s="164" t="s">
        <v>2764</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2983</v>
      </c>
      <c r="B136" s="154" t="s">
        <v>3090</v>
      </c>
      <c r="C136" s="155" t="s">
        <v>3099</v>
      </c>
      <c r="D136" s="158" t="s">
        <v>3100</v>
      </c>
      <c r="E136" s="161" t="s">
        <v>3101</v>
      </c>
      <c r="F136" s="164" t="s">
        <v>2760</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2983</v>
      </c>
      <c r="B137" s="154" t="s">
        <v>3090</v>
      </c>
      <c r="C137" s="155" t="s">
        <v>3102</v>
      </c>
      <c r="D137" s="158" t="s">
        <v>3103</v>
      </c>
      <c r="E137" s="161" t="s">
        <v>3104</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2983</v>
      </c>
      <c r="B138" s="153" t="s">
        <v>2400</v>
      </c>
      <c r="C138" s="151" t="s">
        <v>3105</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2983</v>
      </c>
      <c r="B139" s="154" t="s">
        <v>2400</v>
      </c>
      <c r="C139" s="155" t="s">
        <v>3106</v>
      </c>
      <c r="D139" s="158" t="s">
        <v>3107</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2983</v>
      </c>
      <c r="B140" s="154" t="s">
        <v>2400</v>
      </c>
      <c r="C140" s="155" t="s">
        <v>3108</v>
      </c>
      <c r="D140" s="158" t="s">
        <v>3109</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2983</v>
      </c>
      <c r="B141" s="153" t="s">
        <v>3110</v>
      </c>
      <c r="C141" s="151" t="s">
        <v>3111</v>
      </c>
      <c r="D141" s="157" t="s">
        <v>3112</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2983</v>
      </c>
      <c r="B142" s="154" t="s">
        <v>3110</v>
      </c>
      <c r="C142" s="155" t="s">
        <v>3113</v>
      </c>
      <c r="D142" s="158" t="s">
        <v>3114</v>
      </c>
      <c r="E142" s="161" t="s">
        <v>3115</v>
      </c>
      <c r="F142" s="164" t="s">
        <v>2760</v>
      </c>
      <c r="G142" s="167">
        <f>IF(COUNTIF(H142:AU142,"&lt;&gt;")=0,"",SUMPRODUCT(((Recommendations[ImplStatus]="Implemented")+(Recommendations[ImplStatus]="Compensated"))*ISNUMBER(MATCH(Recommendations[Id],H142:AU142,0)))/COUNTIF(H142:AU142,"&lt;&gt;"))</f>
        <v>0</v>
      </c>
      <c r="H142" s="170" t="s">
        <v>68</v>
      </c>
      <c r="I142" s="170" t="s">
        <v>74</v>
      </c>
      <c r="J142" s="170" t="s">
        <v>79</v>
      </c>
      <c r="K142" s="170" t="s">
        <v>94</v>
      </c>
      <c r="L142" s="170" t="s">
        <v>104</v>
      </c>
      <c r="M142" s="170" t="s">
        <v>109</v>
      </c>
      <c r="N142" s="170" t="s">
        <v>114</v>
      </c>
      <c r="O142" s="170" t="s">
        <v>119</v>
      </c>
      <c r="P142" s="170" t="s">
        <v>124</v>
      </c>
      <c r="Q142" s="170" t="s">
        <v>129</v>
      </c>
      <c r="R142" s="170" t="s">
        <v>134</v>
      </c>
      <c r="S142" s="170" t="s">
        <v>139</v>
      </c>
      <c r="T142" s="170" t="s">
        <v>154</v>
      </c>
      <c r="U142" s="170" t="s">
        <v>183</v>
      </c>
      <c r="V142" s="170" t="s">
        <v>188</v>
      </c>
      <c r="W142" s="170" t="s">
        <v>193</v>
      </c>
      <c r="X142" s="170" t="s">
        <v>268</v>
      </c>
      <c r="Y142" s="170" t="s">
        <v>293</v>
      </c>
      <c r="Z142" s="170" t="s">
        <v>313</v>
      </c>
      <c r="AA142" s="170" t="s">
        <v>333</v>
      </c>
      <c r="AB142" s="170" t="s">
        <v>338</v>
      </c>
      <c r="AC142" s="170" t="s">
        <v>423</v>
      </c>
      <c r="AD142" s="170" t="s">
        <v>448</v>
      </c>
      <c r="AE142" s="170" t="s">
        <v>485</v>
      </c>
      <c r="AF142" s="170" t="s">
        <v>608</v>
      </c>
      <c r="AG142" s="170" t="s">
        <v>634</v>
      </c>
      <c r="AH142" s="170" t="s">
        <v>679</v>
      </c>
      <c r="AI142" s="170" t="s">
        <v>702</v>
      </c>
      <c r="AJ142" s="170" t="s">
        <v>707</v>
      </c>
      <c r="AK142" s="170" t="s">
        <v>722</v>
      </c>
      <c r="AL142" s="170" t="s">
        <v>727</v>
      </c>
      <c r="AM142" s="170" t="s">
        <v>731</v>
      </c>
      <c r="AN142" s="170" t="s">
        <v>735</v>
      </c>
      <c r="AO142" s="170" t="s">
        <v>739</v>
      </c>
      <c r="AP142" s="170" t="s">
        <v>743</v>
      </c>
      <c r="AQ142" s="170" t="s">
        <v>747</v>
      </c>
      <c r="AR142" s="170" t="s">
        <v>751</v>
      </c>
      <c r="AS142" s="170" t="s">
        <v>755</v>
      </c>
      <c r="AT142" s="170" t="s">
        <v>759</v>
      </c>
      <c r="AU142" s="184" t="s">
        <v>763</v>
      </c>
    </row>
    <row r="143" spans="1:47" ht="60" customHeight="1" x14ac:dyDescent="0.35">
      <c r="A143" s="180" t="s">
        <v>2983</v>
      </c>
      <c r="B143" s="154" t="s">
        <v>3110</v>
      </c>
      <c r="C143" s="155" t="s">
        <v>3116</v>
      </c>
      <c r="D143" s="158" t="s">
        <v>3117</v>
      </c>
      <c r="E143" s="161" t="s">
        <v>3118</v>
      </c>
      <c r="F143" s="164" t="s">
        <v>2760</v>
      </c>
      <c r="G143" s="167">
        <f>IF(COUNTIF(H143:AU143,"&lt;&gt;")=0,"",SUMPRODUCT(((Recommendations[ImplStatus]="Implemented")+(Recommendations[ImplStatus]="Compensated"))*ISNUMBER(MATCH(Recommendations[Id],H143:AU143,0)))/COUNTIF(H143:AU143,"&lt;&gt;"))</f>
        <v>0</v>
      </c>
      <c r="H143" s="170" t="s">
        <v>358</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2983</v>
      </c>
      <c r="B144" s="154" t="s">
        <v>3110</v>
      </c>
      <c r="C144" s="155" t="s">
        <v>3119</v>
      </c>
      <c r="D144" s="158" t="s">
        <v>3120</v>
      </c>
      <c r="E144" s="161" t="s">
        <v>3121</v>
      </c>
      <c r="F144" s="164" t="s">
        <v>2764</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2983</v>
      </c>
      <c r="B145" s="154" t="s">
        <v>3110</v>
      </c>
      <c r="C145" s="155" t="s">
        <v>3122</v>
      </c>
      <c r="D145" s="158" t="s">
        <v>3123</v>
      </c>
      <c r="E145" s="161" t="s">
        <v>3124</v>
      </c>
      <c r="F145" s="164" t="s">
        <v>2760</v>
      </c>
      <c r="G145" s="167">
        <f>IF(COUNTIF(H145:AU145,"&lt;&gt;")=0,"",SUMPRODUCT(((Recommendations[ImplStatus]="Implemented")+(Recommendations[ImplStatus]="Compensated"))*ISNUMBER(MATCH(Recommendations[Id],H145:AU145,0)))/COUNTIF(H145:AU145,"&lt;&gt;"))</f>
        <v>0</v>
      </c>
      <c r="H145" s="170" t="s">
        <v>36</v>
      </c>
      <c r="I145" s="170" t="s">
        <v>164</v>
      </c>
      <c r="J145" s="170" t="s">
        <v>238</v>
      </c>
      <c r="K145" s="170" t="s">
        <v>243</v>
      </c>
      <c r="L145" s="170" t="s">
        <v>540</v>
      </c>
      <c r="M145" s="170" t="s">
        <v>712</v>
      </c>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2983</v>
      </c>
      <c r="B146" s="154" t="s">
        <v>3110</v>
      </c>
      <c r="C146" s="155" t="s">
        <v>3125</v>
      </c>
      <c r="D146" s="158" t="s">
        <v>3126</v>
      </c>
      <c r="E146" s="161" t="s">
        <v>3127</v>
      </c>
      <c r="F146" s="164" t="s">
        <v>2760</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2983</v>
      </c>
      <c r="B147" s="154" t="s">
        <v>3110</v>
      </c>
      <c r="C147" s="155" t="s">
        <v>3128</v>
      </c>
      <c r="D147" s="158" t="s">
        <v>3129</v>
      </c>
      <c r="E147" s="161" t="s">
        <v>3130</v>
      </c>
      <c r="F147" s="164" t="s">
        <v>2760</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2983</v>
      </c>
      <c r="B148" s="153" t="s">
        <v>3131</v>
      </c>
      <c r="C148" s="151" t="s">
        <v>3132</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2983</v>
      </c>
      <c r="B149" s="154" t="s">
        <v>3131</v>
      </c>
      <c r="C149" s="155" t="s">
        <v>3133</v>
      </c>
      <c r="D149" s="158" t="s">
        <v>3134</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2983</v>
      </c>
      <c r="B150" s="154" t="s">
        <v>3131</v>
      </c>
      <c r="C150" s="155" t="s">
        <v>3135</v>
      </c>
      <c r="D150" s="158" t="s">
        <v>3136</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2983</v>
      </c>
      <c r="B151" s="154" t="s">
        <v>3131</v>
      </c>
      <c r="C151" s="155" t="s">
        <v>3137</v>
      </c>
      <c r="D151" s="158" t="s">
        <v>3138</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2983</v>
      </c>
      <c r="B152" s="154" t="s">
        <v>3131</v>
      </c>
      <c r="C152" s="155" t="s">
        <v>3139</v>
      </c>
      <c r="D152" s="158" t="s">
        <v>3140</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2983</v>
      </c>
      <c r="B153" s="154" t="s">
        <v>3131</v>
      </c>
      <c r="C153" s="155" t="s">
        <v>3141</v>
      </c>
      <c r="D153" s="158" t="s">
        <v>3142</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3143</v>
      </c>
      <c r="B154" s="152" t="s">
        <v>21</v>
      </c>
      <c r="C154" s="150" t="s">
        <v>3144</v>
      </c>
      <c r="D154" s="156" t="s">
        <v>3145</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3143</v>
      </c>
      <c r="B155" s="153" t="s">
        <v>3146</v>
      </c>
      <c r="C155" s="151" t="s">
        <v>3147</v>
      </c>
      <c r="D155" s="157" t="s">
        <v>3148</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3143</v>
      </c>
      <c r="B156" s="154" t="s">
        <v>3146</v>
      </c>
      <c r="C156" s="155" t="s">
        <v>3149</v>
      </c>
      <c r="D156" s="158" t="s">
        <v>3150</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3143</v>
      </c>
      <c r="B157" s="154" t="s">
        <v>3146</v>
      </c>
      <c r="C157" s="155" t="s">
        <v>3151</v>
      </c>
      <c r="D157" s="158" t="s">
        <v>3152</v>
      </c>
      <c r="E157" s="161" t="s">
        <v>3153</v>
      </c>
      <c r="F157" s="164" t="s">
        <v>2760</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3143</v>
      </c>
      <c r="B158" s="154" t="s">
        <v>3146</v>
      </c>
      <c r="C158" s="155" t="s">
        <v>3154</v>
      </c>
      <c r="D158" s="158" t="s">
        <v>3155</v>
      </c>
      <c r="E158" s="161" t="s">
        <v>3156</v>
      </c>
      <c r="F158" s="164" t="s">
        <v>2760</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3143</v>
      </c>
      <c r="B159" s="154" t="s">
        <v>3146</v>
      </c>
      <c r="C159" s="155" t="s">
        <v>3157</v>
      </c>
      <c r="D159" s="158" t="s">
        <v>3158</v>
      </c>
      <c r="E159" s="161" t="s">
        <v>3159</v>
      </c>
      <c r="F159" s="164" t="s">
        <v>2760</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3143</v>
      </c>
      <c r="B160" s="154" t="s">
        <v>3146</v>
      </c>
      <c r="C160" s="155" t="s">
        <v>3160</v>
      </c>
      <c r="D160" s="158" t="s">
        <v>3161</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3143</v>
      </c>
      <c r="B161" s="154" t="s">
        <v>3146</v>
      </c>
      <c r="C161" s="155" t="s">
        <v>3162</v>
      </c>
      <c r="D161" s="158" t="s">
        <v>3163</v>
      </c>
      <c r="E161" s="161" t="s">
        <v>3164</v>
      </c>
      <c r="F161" s="164" t="s">
        <v>2760</v>
      </c>
      <c r="G161" s="167">
        <f>IF(COUNTIF(H161:AU161,"&lt;&gt;")=0,"",SUMPRODUCT(((Recommendations[ImplStatus]="Implemented")+(Recommendations[ImplStatus]="Compensated"))*ISNUMBER(MATCH(Recommendations[Id],H161:AU161,0)))/COUNTIF(H161:AU161,"&lt;&gt;"))</f>
        <v>0</v>
      </c>
      <c r="H161" s="170" t="s">
        <v>408</v>
      </c>
      <c r="I161" s="170" t="s">
        <v>577</v>
      </c>
      <c r="J161" s="170" t="s">
        <v>582</v>
      </c>
      <c r="K161" s="170" t="s">
        <v>586</v>
      </c>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3143</v>
      </c>
      <c r="B162" s="154" t="s">
        <v>3146</v>
      </c>
      <c r="C162" s="155" t="s">
        <v>3165</v>
      </c>
      <c r="D162" s="158" t="s">
        <v>3166</v>
      </c>
      <c r="E162" s="161" t="s">
        <v>3167</v>
      </c>
      <c r="F162" s="164" t="s">
        <v>2760</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3143</v>
      </c>
      <c r="B163" s="154" t="s">
        <v>3146</v>
      </c>
      <c r="C163" s="155" t="s">
        <v>3168</v>
      </c>
      <c r="D163" s="158" t="s">
        <v>3169</v>
      </c>
      <c r="E163" s="161" t="s">
        <v>3170</v>
      </c>
      <c r="F163" s="164" t="s">
        <v>2760</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3143</v>
      </c>
      <c r="B164" s="153" t="s">
        <v>2564</v>
      </c>
      <c r="C164" s="151" t="s">
        <v>3171</v>
      </c>
      <c r="D164" s="157" t="s">
        <v>3172</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3143</v>
      </c>
      <c r="B165" s="154" t="s">
        <v>2564</v>
      </c>
      <c r="C165" s="155" t="s">
        <v>3173</v>
      </c>
      <c r="D165" s="158" t="s">
        <v>3174</v>
      </c>
      <c r="E165" s="161" t="s">
        <v>3175</v>
      </c>
      <c r="F165" s="164" t="s">
        <v>2760</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3143</v>
      </c>
      <c r="B166" s="154" t="s">
        <v>2564</v>
      </c>
      <c r="C166" s="155" t="s">
        <v>3176</v>
      </c>
      <c r="D166" s="158" t="s">
        <v>3177</v>
      </c>
      <c r="E166" s="161" t="s">
        <v>3178</v>
      </c>
      <c r="F166" s="164" t="s">
        <v>2760</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3143</v>
      </c>
      <c r="B167" s="154" t="s">
        <v>2564</v>
      </c>
      <c r="C167" s="155" t="s">
        <v>3179</v>
      </c>
      <c r="D167" s="158" t="s">
        <v>3180</v>
      </c>
      <c r="E167" s="161" t="s">
        <v>3181</v>
      </c>
      <c r="F167" s="164" t="s">
        <v>2760</v>
      </c>
      <c r="G167" s="167">
        <f>IF(COUNTIF(H167:AU167,"&lt;&gt;")=0,"",SUMPRODUCT(((Recommendations[ImplStatus]="Implemented")+(Recommendations[ImplStatus]="Compensated"))*ISNUMBER(MATCH(Recommendations[Id],H167:AU167,0)))/COUNTIF(H167:AU167,"&lt;&gt;"))</f>
        <v>0</v>
      </c>
      <c r="H167" s="170" t="s">
        <v>505</v>
      </c>
      <c r="I167" s="170" t="s">
        <v>577</v>
      </c>
      <c r="J167" s="170" t="s">
        <v>582</v>
      </c>
      <c r="K167" s="170" t="s">
        <v>586</v>
      </c>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3143</v>
      </c>
      <c r="B168" s="154" t="s">
        <v>2564</v>
      </c>
      <c r="C168" s="155" t="s">
        <v>3182</v>
      </c>
      <c r="D168" s="158" t="s">
        <v>3183</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3143</v>
      </c>
      <c r="B169" s="154" t="s">
        <v>2564</v>
      </c>
      <c r="C169" s="155" t="s">
        <v>3184</v>
      </c>
      <c r="D169" s="158" t="s">
        <v>3185</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3143</v>
      </c>
      <c r="B170" s="154" t="s">
        <v>2564</v>
      </c>
      <c r="C170" s="155" t="s">
        <v>3186</v>
      </c>
      <c r="D170" s="158" t="s">
        <v>3187</v>
      </c>
      <c r="E170" s="161" t="s">
        <v>3188</v>
      </c>
      <c r="F170" s="164" t="s">
        <v>2774</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3143</v>
      </c>
      <c r="B171" s="154" t="s">
        <v>2564</v>
      </c>
      <c r="C171" s="155" t="s">
        <v>3189</v>
      </c>
      <c r="D171" s="158" t="s">
        <v>3190</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3143</v>
      </c>
      <c r="B172" s="154" t="s">
        <v>2564</v>
      </c>
      <c r="C172" s="155" t="s">
        <v>3191</v>
      </c>
      <c r="D172" s="158" t="s">
        <v>3192</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3143</v>
      </c>
      <c r="B173" s="154" t="s">
        <v>2564</v>
      </c>
      <c r="C173" s="155" t="s">
        <v>3193</v>
      </c>
      <c r="D173" s="158" t="s">
        <v>3194</v>
      </c>
      <c r="E173" s="161" t="s">
        <v>3195</v>
      </c>
      <c r="F173" s="164" t="s">
        <v>2760</v>
      </c>
      <c r="G173" s="167">
        <f>IF(COUNTIF(H173:AU173,"&lt;&gt;")=0,"",SUMPRODUCT(((Recommendations[ImplStatus]="Implemented")+(Recommendations[ImplStatus]="Compensated"))*ISNUMBER(MATCH(Recommendations[Id],H173:AU173,0)))/COUNTIF(H173:AU173,"&lt;&gt;"))</f>
        <v>0</v>
      </c>
      <c r="H173" s="170" t="s">
        <v>598</v>
      </c>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3143</v>
      </c>
      <c r="B174" s="153" t="s">
        <v>3196</v>
      </c>
      <c r="C174" s="151" t="s">
        <v>3197</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3143</v>
      </c>
      <c r="B175" s="154" t="s">
        <v>3196</v>
      </c>
      <c r="C175" s="155" t="s">
        <v>3198</v>
      </c>
      <c r="D175" s="158" t="s">
        <v>3199</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3143</v>
      </c>
      <c r="B176" s="154" t="s">
        <v>3196</v>
      </c>
      <c r="C176" s="155" t="s">
        <v>3200</v>
      </c>
      <c r="D176" s="158" t="s">
        <v>3201</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3143</v>
      </c>
      <c r="B177" s="154" t="s">
        <v>3196</v>
      </c>
      <c r="C177" s="155" t="s">
        <v>3202</v>
      </c>
      <c r="D177" s="158" t="s">
        <v>3203</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3143</v>
      </c>
      <c r="B178" s="154" t="s">
        <v>3196</v>
      </c>
      <c r="C178" s="155" t="s">
        <v>3204</v>
      </c>
      <c r="D178" s="158" t="s">
        <v>3205</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3143</v>
      </c>
      <c r="B179" s="154" t="s">
        <v>3196</v>
      </c>
      <c r="C179" s="155" t="s">
        <v>3206</v>
      </c>
      <c r="D179" s="158" t="s">
        <v>3207</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3208</v>
      </c>
      <c r="B180" s="152" t="s">
        <v>21</v>
      </c>
      <c r="C180" s="150" t="s">
        <v>3209</v>
      </c>
      <c r="D180" s="156" t="s">
        <v>3210</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3208</v>
      </c>
      <c r="B181" s="153" t="s">
        <v>3211</v>
      </c>
      <c r="C181" s="151" t="s">
        <v>3212</v>
      </c>
      <c r="D181" s="157" t="s">
        <v>3213</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3208</v>
      </c>
      <c r="B182" s="154" t="s">
        <v>3211</v>
      </c>
      <c r="C182" s="155" t="s">
        <v>3214</v>
      </c>
      <c r="D182" s="158" t="s">
        <v>3215</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3208</v>
      </c>
      <c r="B183" s="154" t="s">
        <v>3211</v>
      </c>
      <c r="C183" s="155" t="s">
        <v>3216</v>
      </c>
      <c r="D183" s="158" t="s">
        <v>3217</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3208</v>
      </c>
      <c r="B184" s="154" t="s">
        <v>3211</v>
      </c>
      <c r="C184" s="155" t="s">
        <v>3218</v>
      </c>
      <c r="D184" s="158" t="s">
        <v>3219</v>
      </c>
      <c r="E184" s="161" t="s">
        <v>3220</v>
      </c>
      <c r="F184" s="164" t="s">
        <v>2760</v>
      </c>
      <c r="G184" s="167">
        <f>IF(COUNTIF(H184:AU184,"&lt;&gt;")=0,"",SUMPRODUCT(((Recommendations[ImplStatus]="Implemented")+(Recommendations[ImplStatus]="Compensated"))*ISNUMBER(MATCH(Recommendations[Id],H184:AU184,0)))/COUNTIF(H184:AU184,"&lt;&gt;"))</f>
        <v>0</v>
      </c>
      <c r="H184" s="170" t="s">
        <v>233</v>
      </c>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3208</v>
      </c>
      <c r="B185" s="154" t="s">
        <v>3211</v>
      </c>
      <c r="C185" s="155" t="s">
        <v>3221</v>
      </c>
      <c r="D185" s="158" t="s">
        <v>3222</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3208</v>
      </c>
      <c r="B186" s="154" t="s">
        <v>3211</v>
      </c>
      <c r="C186" s="155" t="s">
        <v>3223</v>
      </c>
      <c r="D186" s="158" t="s">
        <v>3224</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3208</v>
      </c>
      <c r="B187" s="154" t="s">
        <v>3211</v>
      </c>
      <c r="C187" s="155" t="s">
        <v>3225</v>
      </c>
      <c r="D187" s="158" t="s">
        <v>3226</v>
      </c>
      <c r="E187" s="161" t="s">
        <v>3227</v>
      </c>
      <c r="F187" s="164" t="s">
        <v>2760</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3208</v>
      </c>
      <c r="B188" s="154" t="s">
        <v>3211</v>
      </c>
      <c r="C188" s="155" t="s">
        <v>3228</v>
      </c>
      <c r="D188" s="158" t="s">
        <v>3229</v>
      </c>
      <c r="E188" s="161" t="s">
        <v>3230</v>
      </c>
      <c r="F188" s="164" t="s">
        <v>2760</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3208</v>
      </c>
      <c r="B189" s="154" t="s">
        <v>3211</v>
      </c>
      <c r="C189" s="155" t="s">
        <v>3231</v>
      </c>
      <c r="D189" s="158" t="s">
        <v>3232</v>
      </c>
      <c r="E189" s="161" t="s">
        <v>3233</v>
      </c>
      <c r="F189" s="164" t="s">
        <v>2760</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3208</v>
      </c>
      <c r="B190" s="153" t="s">
        <v>3234</v>
      </c>
      <c r="C190" s="151" t="s">
        <v>3235</v>
      </c>
      <c r="D190" s="157" t="s">
        <v>3236</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3208</v>
      </c>
      <c r="B191" s="154" t="s">
        <v>3234</v>
      </c>
      <c r="C191" s="155" t="s">
        <v>3237</v>
      </c>
      <c r="D191" s="158" t="s">
        <v>3238</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3208</v>
      </c>
      <c r="B192" s="154" t="s">
        <v>3234</v>
      </c>
      <c r="C192" s="155" t="s">
        <v>3239</v>
      </c>
      <c r="D192" s="158" t="s">
        <v>3240</v>
      </c>
      <c r="E192" s="161" t="s">
        <v>3241</v>
      </c>
      <c r="F192" s="164" t="s">
        <v>2764</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3208</v>
      </c>
      <c r="B193" s="154" t="s">
        <v>3234</v>
      </c>
      <c r="C193" s="155" t="s">
        <v>3242</v>
      </c>
      <c r="D193" s="158" t="s">
        <v>3243</v>
      </c>
      <c r="E193" s="161" t="s">
        <v>3244</v>
      </c>
      <c r="F193" s="164" t="s">
        <v>2764</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3208</v>
      </c>
      <c r="B194" s="154" t="s">
        <v>3234</v>
      </c>
      <c r="C194" s="155" t="s">
        <v>3245</v>
      </c>
      <c r="D194" s="158" t="s">
        <v>3246</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3208</v>
      </c>
      <c r="B195" s="154" t="s">
        <v>3234</v>
      </c>
      <c r="C195" s="155" t="s">
        <v>3247</v>
      </c>
      <c r="D195" s="158" t="s">
        <v>3248</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3208</v>
      </c>
      <c r="B196" s="153" t="s">
        <v>3249</v>
      </c>
      <c r="C196" s="151" t="s">
        <v>3250</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3208</v>
      </c>
      <c r="B197" s="154" t="s">
        <v>3249</v>
      </c>
      <c r="C197" s="155" t="s">
        <v>3251</v>
      </c>
      <c r="D197" s="158" t="s">
        <v>3252</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3208</v>
      </c>
      <c r="B198" s="154" t="s">
        <v>3249</v>
      </c>
      <c r="C198" s="155" t="s">
        <v>3253</v>
      </c>
      <c r="D198" s="158" t="s">
        <v>3254</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3208</v>
      </c>
      <c r="B199" s="153" t="s">
        <v>3255</v>
      </c>
      <c r="C199" s="151" t="s">
        <v>3256</v>
      </c>
      <c r="D199" s="157" t="s">
        <v>3257</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3208</v>
      </c>
      <c r="B200" s="154" t="s">
        <v>3255</v>
      </c>
      <c r="C200" s="155" t="s">
        <v>3258</v>
      </c>
      <c r="D200" s="158" t="s">
        <v>3259</v>
      </c>
      <c r="E200" s="161" t="s">
        <v>3260</v>
      </c>
      <c r="F200" s="164" t="s">
        <v>2774</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3208</v>
      </c>
      <c r="B201" s="154" t="s">
        <v>3255</v>
      </c>
      <c r="C201" s="155" t="s">
        <v>3261</v>
      </c>
      <c r="D201" s="158" t="s">
        <v>3262</v>
      </c>
      <c r="E201" s="161" t="s">
        <v>3263</v>
      </c>
      <c r="F201" s="164" t="s">
        <v>2760</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3208</v>
      </c>
      <c r="B202" s="154" t="s">
        <v>3255</v>
      </c>
      <c r="C202" s="155" t="s">
        <v>3264</v>
      </c>
      <c r="D202" s="158" t="s">
        <v>3265</v>
      </c>
      <c r="E202" s="161" t="s">
        <v>3266</v>
      </c>
      <c r="F202" s="164" t="s">
        <v>2760</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3208</v>
      </c>
      <c r="B203" s="154" t="s">
        <v>3255</v>
      </c>
      <c r="C203" s="155" t="s">
        <v>3267</v>
      </c>
      <c r="D203" s="158" t="s">
        <v>3268</v>
      </c>
      <c r="E203" s="161" t="s">
        <v>3269</v>
      </c>
      <c r="F203" s="164" t="s">
        <v>2760</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3208</v>
      </c>
      <c r="B204" s="154" t="s">
        <v>3255</v>
      </c>
      <c r="C204" s="155" t="s">
        <v>3270</v>
      </c>
      <c r="D204" s="158" t="s">
        <v>3271</v>
      </c>
      <c r="E204" s="161" t="s">
        <v>3272</v>
      </c>
      <c r="F204" s="164" t="s">
        <v>2760</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3208</v>
      </c>
      <c r="B205" s="153" t="s">
        <v>3273</v>
      </c>
      <c r="C205" s="151" t="s">
        <v>3274</v>
      </c>
      <c r="D205" s="157" t="s">
        <v>3275</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3208</v>
      </c>
      <c r="B206" s="154" t="s">
        <v>3273</v>
      </c>
      <c r="C206" s="155" t="s">
        <v>3276</v>
      </c>
      <c r="D206" s="158" t="s">
        <v>3277</v>
      </c>
      <c r="E206" s="161" t="s">
        <v>3278</v>
      </c>
      <c r="F206" s="164" t="s">
        <v>2764</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3208</v>
      </c>
      <c r="B207" s="154" t="s">
        <v>3273</v>
      </c>
      <c r="C207" s="155" t="s">
        <v>3279</v>
      </c>
      <c r="D207" s="158" t="s">
        <v>3280</v>
      </c>
      <c r="E207" s="161" t="s">
        <v>3281</v>
      </c>
      <c r="F207" s="164" t="s">
        <v>2764</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3208</v>
      </c>
      <c r="B208" s="154" t="s">
        <v>3273</v>
      </c>
      <c r="C208" s="155" t="s">
        <v>3282</v>
      </c>
      <c r="D208" s="158" t="s">
        <v>3283</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3208</v>
      </c>
      <c r="B209" s="153" t="s">
        <v>3284</v>
      </c>
      <c r="C209" s="151" t="s">
        <v>3285</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3208</v>
      </c>
      <c r="B210" s="154" t="s">
        <v>3284</v>
      </c>
      <c r="C210" s="155" t="s">
        <v>3286</v>
      </c>
      <c r="D210" s="158" t="s">
        <v>3287</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3288</v>
      </c>
      <c r="B211" s="152" t="s">
        <v>21</v>
      </c>
      <c r="C211" s="150" t="s">
        <v>3289</v>
      </c>
      <c r="D211" s="156" t="s">
        <v>3290</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3288</v>
      </c>
      <c r="B212" s="153" t="s">
        <v>3291</v>
      </c>
      <c r="C212" s="151" t="s">
        <v>3292</v>
      </c>
      <c r="D212" s="157" t="s">
        <v>3293</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3288</v>
      </c>
      <c r="B213" s="154" t="s">
        <v>3291</v>
      </c>
      <c r="C213" s="155" t="s">
        <v>3294</v>
      </c>
      <c r="D213" s="158" t="s">
        <v>3295</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3288</v>
      </c>
      <c r="B214" s="154" t="s">
        <v>3291</v>
      </c>
      <c r="C214" s="155" t="s">
        <v>3296</v>
      </c>
      <c r="D214" s="158" t="s">
        <v>3297</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3288</v>
      </c>
      <c r="B215" s="154" t="s">
        <v>3291</v>
      </c>
      <c r="C215" s="155" t="s">
        <v>3298</v>
      </c>
      <c r="D215" s="158" t="s">
        <v>3299</v>
      </c>
      <c r="E215" s="161" t="s">
        <v>3300</v>
      </c>
      <c r="F215" s="164" t="s">
        <v>2764</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3288</v>
      </c>
      <c r="B216" s="154" t="s">
        <v>3291</v>
      </c>
      <c r="C216" s="155" t="s">
        <v>3301</v>
      </c>
      <c r="D216" s="158" t="s">
        <v>3302</v>
      </c>
      <c r="E216" s="161" t="s">
        <v>3303</v>
      </c>
      <c r="F216" s="164" t="s">
        <v>2760</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3288</v>
      </c>
      <c r="B217" s="153" t="s">
        <v>3249</v>
      </c>
      <c r="C217" s="151" t="s">
        <v>3304</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3288</v>
      </c>
      <c r="B218" s="154" t="s">
        <v>3249</v>
      </c>
      <c r="C218" s="155" t="s">
        <v>3305</v>
      </c>
      <c r="D218" s="158" t="s">
        <v>3306</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3288</v>
      </c>
      <c r="B219" s="154" t="s">
        <v>3249</v>
      </c>
      <c r="C219" s="155" t="s">
        <v>3307</v>
      </c>
      <c r="D219" s="158" t="s">
        <v>3308</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3288</v>
      </c>
      <c r="B220" s="153" t="s">
        <v>3309</v>
      </c>
      <c r="C220" s="151" t="s">
        <v>3310</v>
      </c>
      <c r="D220" s="157" t="s">
        <v>3311</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3288</v>
      </c>
      <c r="B221" s="154" t="s">
        <v>3309</v>
      </c>
      <c r="C221" s="155" t="s">
        <v>3312</v>
      </c>
      <c r="D221" s="158" t="s">
        <v>3313</v>
      </c>
      <c r="E221" s="161" t="s">
        <v>3314</v>
      </c>
      <c r="F221" s="164" t="s">
        <v>2760</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3288</v>
      </c>
      <c r="B222" s="154" t="s">
        <v>3309</v>
      </c>
      <c r="C222" s="155" t="s">
        <v>3315</v>
      </c>
      <c r="D222" s="158" t="s">
        <v>3316</v>
      </c>
      <c r="E222" s="161" t="s">
        <v>3317</v>
      </c>
      <c r="F222" s="164" t="s">
        <v>2760</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3288</v>
      </c>
      <c r="B223" s="154" t="s">
        <v>3309</v>
      </c>
      <c r="C223" s="155" t="s">
        <v>3318</v>
      </c>
      <c r="D223" s="158" t="s">
        <v>3319</v>
      </c>
      <c r="E223" s="161" t="s">
        <v>3320</v>
      </c>
      <c r="F223" s="164" t="s">
        <v>2760</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3288</v>
      </c>
      <c r="B224" s="154" t="s">
        <v>3309</v>
      </c>
      <c r="C224" s="155" t="s">
        <v>3321</v>
      </c>
      <c r="D224" s="158" t="s">
        <v>3322</v>
      </c>
      <c r="E224" s="161" t="s">
        <v>3323</v>
      </c>
      <c r="F224" s="164" t="s">
        <v>2760</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3288</v>
      </c>
      <c r="B225" s="154" t="s">
        <v>3309</v>
      </c>
      <c r="C225" s="155" t="s">
        <v>3324</v>
      </c>
      <c r="D225" s="158" t="s">
        <v>3325</v>
      </c>
      <c r="E225" s="161" t="s">
        <v>3326</v>
      </c>
      <c r="F225" s="164" t="s">
        <v>2760</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3288</v>
      </c>
      <c r="B226" s="171" t="s">
        <v>3309</v>
      </c>
      <c r="C226" s="172" t="s">
        <v>3327</v>
      </c>
      <c r="D226" s="173" t="s">
        <v>3328</v>
      </c>
      <c r="E226" s="174" t="s">
        <v>3329</v>
      </c>
      <c r="F226" s="175" t="s">
        <v>2760</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865</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IFERROR(INDEX('Recommendations'!$H$2:$H$178, MATCH(H2,'Recommendations'!$A$2:$A$178,0))="Implemented", FALSE))</xm:f>
            <x14:dxf>
              <font>
                <color rgb="FF000000"/>
              </font>
              <fill>
                <patternFill>
                  <bgColor rgb="FF3C7D22"/>
                </patternFill>
              </fill>
            </x14:dxf>
          </x14:cfRule>
          <x14:cfRule type="expression" priority="2" id="{00000000-000E-0000-0700-000002000000}">
            <xm:f>AND(H2&lt;&gt;"", IFERROR(INDEX('Recommendations'!$H$2:$H$178, MATCH(H2,'Recommendations'!$A$2:$A$178,0))="Compensated", FALSE))</xm:f>
            <x14:dxf>
              <font>
                <color rgb="FF000000"/>
              </font>
              <fill>
                <patternFill>
                  <bgColor rgb="FFC6E0B4"/>
                </patternFill>
              </fill>
            </x14:dxf>
          </x14:cfRule>
          <x14:cfRule type="expression" priority="3" id="{00000000-000E-0000-0700-000003000000}">
            <xm:f>AND(H2&lt;&gt;"", IFERROR(INDEX('Recommendations'!$H$2:$H$178, MATCH(H2,'Recommendations'!$A$2:$A$178,0))="Testing", FALSE))</xm:f>
            <x14:dxf>
              <font>
                <color rgb="FF000000"/>
              </font>
              <fill>
                <patternFill>
                  <bgColor rgb="FFFFC000"/>
                </patternFill>
              </fill>
            </x14:dxf>
          </x14:cfRule>
          <x14:cfRule type="expression" priority="4" id="{00000000-000E-0000-0700-000004000000}">
            <xm:f>AND(H2&lt;&gt;"", IFERROR(INDEX('Recommendations'!$H$2:$H$178, MATCH(H2,'Recommendations'!$A$2:$A$178,0))="Failed", FALSE))</xm:f>
            <x14:dxf>
              <font>
                <color rgb="FF000000"/>
              </font>
              <fill>
                <patternFill>
                  <bgColor rgb="FFD82891"/>
                </patternFill>
              </fill>
            </x14:dxf>
          </x14:cfRule>
          <x14:cfRule type="expression" priority="5" id="{00000000-000E-0000-0700-000005000000}">
            <xm:f>AND(H2&lt;&gt;"", IFERROR(INDEX('Recommendations'!$H$2:$H$178, MATCH(H2,'Recommendations'!$A$2:$A$178,0))="Risk Accepted", FALSE))</xm:f>
            <x14:dxf>
              <font>
                <color rgb="FF000000"/>
              </font>
              <fill>
                <patternFill>
                  <bgColor rgb="FFD9D9D9"/>
                </patternFill>
              </fill>
            </x14:dxf>
          </x14:cfRule>
          <x14:cfRule type="expression" priority="6" id="{00000000-000E-0000-0700-000006000000}">
            <xm:f>AND(H2&lt;&gt;"", IFERROR(INDEX('Recommendations'!$H$2:$H$178, MATCH(H2,'Recommendations'!$A$2:$A$178,0))="N/A",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2747</v>
      </c>
      <c r="B1" s="210" t="s">
        <v>3330</v>
      </c>
      <c r="C1" s="210" t="s">
        <v>3331</v>
      </c>
      <c r="D1" s="210" t="s">
        <v>3332</v>
      </c>
      <c r="E1" s="210" t="s">
        <v>2056</v>
      </c>
      <c r="F1" s="210" t="s">
        <v>1115</v>
      </c>
      <c r="G1" s="210" t="s">
        <v>1116</v>
      </c>
      <c r="H1" s="210" t="s">
        <v>1117</v>
      </c>
      <c r="I1" s="210" t="s">
        <v>1118</v>
      </c>
      <c r="J1" s="210" t="s">
        <v>1119</v>
      </c>
      <c r="K1" s="210" t="s">
        <v>1120</v>
      </c>
      <c r="L1" s="210" t="s">
        <v>1121</v>
      </c>
      <c r="M1" s="210" t="s">
        <v>1122</v>
      </c>
      <c r="N1" s="210" t="s">
        <v>1123</v>
      </c>
      <c r="O1" s="210" t="s">
        <v>1124</v>
      </c>
      <c r="P1" s="210" t="s">
        <v>1125</v>
      </c>
      <c r="Q1" s="210" t="s">
        <v>1126</v>
      </c>
      <c r="R1" s="210" t="s">
        <v>1127</v>
      </c>
      <c r="S1" s="210" t="s">
        <v>1128</v>
      </c>
      <c r="T1" s="210" t="s">
        <v>1129</v>
      </c>
      <c r="U1" s="210" t="s">
        <v>1130</v>
      </c>
      <c r="V1" s="210" t="s">
        <v>1131</v>
      </c>
      <c r="W1" s="210" t="s">
        <v>1132</v>
      </c>
      <c r="X1" s="210" t="s">
        <v>1133</v>
      </c>
      <c r="Y1" s="210" t="s">
        <v>1134</v>
      </c>
      <c r="Z1" s="210" t="s">
        <v>1135</v>
      </c>
      <c r="AA1" s="210" t="s">
        <v>1136</v>
      </c>
      <c r="AB1" s="210" t="s">
        <v>1137</v>
      </c>
      <c r="AC1" s="210" t="s">
        <v>1138</v>
      </c>
      <c r="AD1" s="210" t="s">
        <v>1139</v>
      </c>
      <c r="AE1" s="210" t="s">
        <v>1140</v>
      </c>
      <c r="AF1" s="210" t="s">
        <v>1141</v>
      </c>
      <c r="AG1" s="210" t="s">
        <v>1142</v>
      </c>
      <c r="AH1" s="210" t="s">
        <v>1143</v>
      </c>
      <c r="AI1" s="210" t="s">
        <v>1144</v>
      </c>
      <c r="AJ1" s="210" t="s">
        <v>1145</v>
      </c>
      <c r="AK1" s="210" t="s">
        <v>1146</v>
      </c>
      <c r="AL1" s="210" t="s">
        <v>1147</v>
      </c>
      <c r="AM1" s="210" t="s">
        <v>1148</v>
      </c>
      <c r="AN1" s="210" t="s">
        <v>1149</v>
      </c>
      <c r="AO1" s="210" t="s">
        <v>1150</v>
      </c>
      <c r="AP1" s="210" t="s">
        <v>1151</v>
      </c>
      <c r="AQ1" s="210" t="s">
        <v>1152</v>
      </c>
      <c r="AR1" s="210" t="s">
        <v>1153</v>
      </c>
      <c r="AS1" s="210" t="s">
        <v>1154</v>
      </c>
      <c r="AT1" s="211" t="s">
        <v>1155</v>
      </c>
    </row>
    <row r="2" spans="1:46" ht="60" customHeight="1" outlineLevel="1" x14ac:dyDescent="0.35">
      <c r="A2" s="203" t="s">
        <v>956</v>
      </c>
      <c r="B2" s="189" t="s">
        <v>3333</v>
      </c>
      <c r="C2" s="189"/>
      <c r="D2" s="192" t="s">
        <v>3334</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956</v>
      </c>
      <c r="B3" s="190" t="s">
        <v>3333</v>
      </c>
      <c r="C3" s="191" t="s">
        <v>3335</v>
      </c>
      <c r="D3" s="193" t="s">
        <v>3336</v>
      </c>
      <c r="E3" s="193" t="s">
        <v>3337</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956</v>
      </c>
      <c r="B4" s="190" t="s">
        <v>3333</v>
      </c>
      <c r="C4" s="191" t="s">
        <v>3338</v>
      </c>
      <c r="D4" s="193" t="s">
        <v>3339</v>
      </c>
      <c r="E4" s="193" t="s">
        <v>3340</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956</v>
      </c>
      <c r="B5" s="190" t="s">
        <v>3333</v>
      </c>
      <c r="C5" s="191" t="s">
        <v>3341</v>
      </c>
      <c r="D5" s="193" t="s">
        <v>3342</v>
      </c>
      <c r="E5" s="193" t="s">
        <v>3343</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956</v>
      </c>
      <c r="B6" s="190" t="s">
        <v>3333</v>
      </c>
      <c r="C6" s="191" t="s">
        <v>3344</v>
      </c>
      <c r="D6" s="193" t="s">
        <v>3345</v>
      </c>
      <c r="E6" s="193" t="s">
        <v>3346</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956</v>
      </c>
      <c r="B7" s="190" t="s">
        <v>3333</v>
      </c>
      <c r="C7" s="191" t="s">
        <v>3347</v>
      </c>
      <c r="D7" s="193" t="s">
        <v>3348</v>
      </c>
      <c r="E7" s="193" t="s">
        <v>3349</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956</v>
      </c>
      <c r="B8" s="190" t="s">
        <v>3333</v>
      </c>
      <c r="C8" s="191" t="s">
        <v>3350</v>
      </c>
      <c r="D8" s="193" t="s">
        <v>3351</v>
      </c>
      <c r="E8" s="193" t="s">
        <v>3352</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956</v>
      </c>
      <c r="B9" s="190" t="s">
        <v>3333</v>
      </c>
      <c r="C9" s="191" t="s">
        <v>3353</v>
      </c>
      <c r="D9" s="193" t="s">
        <v>3354</v>
      </c>
      <c r="E9" s="193" t="s">
        <v>3355</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956</v>
      </c>
      <c r="B10" s="190" t="s">
        <v>3333</v>
      </c>
      <c r="C10" s="191" t="s">
        <v>3356</v>
      </c>
      <c r="D10" s="193" t="s">
        <v>3357</v>
      </c>
      <c r="E10" s="193" t="s">
        <v>3358</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956</v>
      </c>
      <c r="B11" s="190" t="s">
        <v>3333</v>
      </c>
      <c r="C11" s="191" t="s">
        <v>3359</v>
      </c>
      <c r="D11" s="193" t="s">
        <v>3360</v>
      </c>
      <c r="E11" s="193" t="s">
        <v>3361</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956</v>
      </c>
      <c r="B12" s="190" t="s">
        <v>3333</v>
      </c>
      <c r="C12" s="191" t="s">
        <v>3362</v>
      </c>
      <c r="D12" s="193" t="s">
        <v>3363</v>
      </c>
      <c r="E12" s="193" t="s">
        <v>3364</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956</v>
      </c>
      <c r="B13" s="190" t="s">
        <v>3333</v>
      </c>
      <c r="C13" s="191" t="s">
        <v>3365</v>
      </c>
      <c r="D13" s="193" t="s">
        <v>3366</v>
      </c>
      <c r="E13" s="193" t="s">
        <v>3367</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956</v>
      </c>
      <c r="B14" s="190" t="s">
        <v>3333</v>
      </c>
      <c r="C14" s="191" t="s">
        <v>3368</v>
      </c>
      <c r="D14" s="193" t="s">
        <v>3369</v>
      </c>
      <c r="E14" s="193" t="s">
        <v>3370</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956</v>
      </c>
      <c r="B15" s="190" t="s">
        <v>3333</v>
      </c>
      <c r="C15" s="191" t="s">
        <v>3371</v>
      </c>
      <c r="D15" s="193" t="s">
        <v>3372</v>
      </c>
      <c r="E15" s="193" t="s">
        <v>3373</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956</v>
      </c>
      <c r="B16" s="190" t="s">
        <v>3333</v>
      </c>
      <c r="C16" s="191" t="s">
        <v>3374</v>
      </c>
      <c r="D16" s="193" t="s">
        <v>3375</v>
      </c>
      <c r="E16" s="193" t="s">
        <v>3376</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956</v>
      </c>
      <c r="B17" s="190" t="s">
        <v>3333</v>
      </c>
      <c r="C17" s="191" t="s">
        <v>3377</v>
      </c>
      <c r="D17" s="193" t="s">
        <v>3378</v>
      </c>
      <c r="E17" s="193" t="s">
        <v>3379</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956</v>
      </c>
      <c r="B18" s="190" t="s">
        <v>3333</v>
      </c>
      <c r="C18" s="191" t="s">
        <v>3380</v>
      </c>
      <c r="D18" s="193" t="s">
        <v>3381</v>
      </c>
      <c r="E18" s="193" t="s">
        <v>3382</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956</v>
      </c>
      <c r="B19" s="189" t="s">
        <v>3383</v>
      </c>
      <c r="C19" s="189"/>
      <c r="D19" s="192" t="s">
        <v>3384</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956</v>
      </c>
      <c r="B20" s="190" t="s">
        <v>3383</v>
      </c>
      <c r="C20" s="191" t="s">
        <v>3385</v>
      </c>
      <c r="D20" s="193" t="s">
        <v>3386</v>
      </c>
      <c r="E20" s="193" t="s">
        <v>3387</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956</v>
      </c>
      <c r="B21" s="190" t="s">
        <v>3383</v>
      </c>
      <c r="C21" s="191" t="s">
        <v>3388</v>
      </c>
      <c r="D21" s="193" t="s">
        <v>3389</v>
      </c>
      <c r="E21" s="193" t="s">
        <v>3390</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956</v>
      </c>
      <c r="B22" s="190" t="s">
        <v>3383</v>
      </c>
      <c r="C22" s="191" t="s">
        <v>3391</v>
      </c>
      <c r="D22" s="193" t="s">
        <v>3392</v>
      </c>
      <c r="E22" s="193" t="s">
        <v>3393</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956</v>
      </c>
      <c r="B23" s="190" t="s">
        <v>3383</v>
      </c>
      <c r="C23" s="191" t="s">
        <v>3394</v>
      </c>
      <c r="D23" s="193" t="s">
        <v>3395</v>
      </c>
      <c r="E23" s="193" t="s">
        <v>3396</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956</v>
      </c>
      <c r="B24" s="190" t="s">
        <v>3383</v>
      </c>
      <c r="C24" s="191" t="s">
        <v>3397</v>
      </c>
      <c r="D24" s="193" t="s">
        <v>3398</v>
      </c>
      <c r="E24" s="193" t="s">
        <v>3399</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956</v>
      </c>
      <c r="B25" s="190" t="s">
        <v>3383</v>
      </c>
      <c r="C25" s="191" t="s">
        <v>3400</v>
      </c>
      <c r="D25" s="193" t="s">
        <v>3401</v>
      </c>
      <c r="E25" s="193" t="s">
        <v>3402</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956</v>
      </c>
      <c r="B26" s="190" t="s">
        <v>3383</v>
      </c>
      <c r="C26" s="191" t="s">
        <v>3403</v>
      </c>
      <c r="D26" s="193" t="s">
        <v>3404</v>
      </c>
      <c r="E26" s="193" t="s">
        <v>3405</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956</v>
      </c>
      <c r="B27" s="190" t="s">
        <v>3383</v>
      </c>
      <c r="C27" s="191" t="s">
        <v>3406</v>
      </c>
      <c r="D27" s="193" t="s">
        <v>3407</v>
      </c>
      <c r="E27" s="193" t="s">
        <v>3408</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956</v>
      </c>
      <c r="B28" s="190" t="s">
        <v>3383</v>
      </c>
      <c r="C28" s="191" t="s">
        <v>3409</v>
      </c>
      <c r="D28" s="193" t="s">
        <v>3410</v>
      </c>
      <c r="E28" s="193" t="s">
        <v>3411</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956</v>
      </c>
      <c r="B29" s="190" t="s">
        <v>3383</v>
      </c>
      <c r="C29" s="191" t="s">
        <v>3412</v>
      </c>
      <c r="D29" s="193" t="s">
        <v>3413</v>
      </c>
      <c r="E29" s="193" t="s">
        <v>3414</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956</v>
      </c>
      <c r="B30" s="190" t="s">
        <v>3383</v>
      </c>
      <c r="C30" s="191" t="s">
        <v>3415</v>
      </c>
      <c r="D30" s="193" t="s">
        <v>3416</v>
      </c>
      <c r="E30" s="193" t="s">
        <v>3417</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956</v>
      </c>
      <c r="B31" s="190" t="s">
        <v>3383</v>
      </c>
      <c r="C31" s="191" t="s">
        <v>3418</v>
      </c>
      <c r="D31" s="193" t="s">
        <v>3419</v>
      </c>
      <c r="E31" s="193" t="s">
        <v>3420</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3421</v>
      </c>
      <c r="B32" s="189"/>
      <c r="C32" s="189"/>
      <c r="D32" s="192" t="s">
        <v>3422</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3421</v>
      </c>
      <c r="B33" s="190"/>
      <c r="C33" s="191" t="s">
        <v>3423</v>
      </c>
      <c r="D33" s="193" t="s">
        <v>3424</v>
      </c>
      <c r="E33" s="193" t="s">
        <v>3425</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3421</v>
      </c>
      <c r="B34" s="190"/>
      <c r="C34" s="191" t="s">
        <v>3426</v>
      </c>
      <c r="D34" s="193" t="s">
        <v>3427</v>
      </c>
      <c r="E34" s="193" t="s">
        <v>3428</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3421</v>
      </c>
      <c r="B35" s="190"/>
      <c r="C35" s="191" t="s">
        <v>3429</v>
      </c>
      <c r="D35" s="193" t="s">
        <v>3430</v>
      </c>
      <c r="E35" s="193" t="s">
        <v>3431</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3421</v>
      </c>
      <c r="B36" s="189" t="s">
        <v>3432</v>
      </c>
      <c r="C36" s="189"/>
      <c r="D36" s="192" t="s">
        <v>3433</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3421</v>
      </c>
      <c r="B37" s="190" t="s">
        <v>3432</v>
      </c>
      <c r="C37" s="191" t="s">
        <v>3434</v>
      </c>
      <c r="D37" s="193" t="s">
        <v>3435</v>
      </c>
      <c r="E37" s="193" t="s">
        <v>3436</v>
      </c>
      <c r="F37" s="195">
        <f>IF(COUNTIF(G37:AT37,"&lt;&gt;")=0,"",SUMPRODUCT(((Recommendations[ImplStatus]="Implemented")+(Recommendations[ImplStatus]="Compensated"))*ISNUMBER(MATCH(Recommendations[Id],G37:AT37,0)))/COUNTIF(G37:AT37,"&lt;&gt;"))</f>
        <v>0</v>
      </c>
      <c r="G37" s="197" t="s">
        <v>283</v>
      </c>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3421</v>
      </c>
      <c r="B38" s="190" t="s">
        <v>3432</v>
      </c>
      <c r="C38" s="191" t="s">
        <v>3437</v>
      </c>
      <c r="D38" s="193" t="s">
        <v>3438</v>
      </c>
      <c r="E38" s="193" t="s">
        <v>3439</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3421</v>
      </c>
      <c r="B39" s="190" t="s">
        <v>3432</v>
      </c>
      <c r="C39" s="191" t="s">
        <v>3440</v>
      </c>
      <c r="D39" s="193" t="s">
        <v>3441</v>
      </c>
      <c r="E39" s="193" t="s">
        <v>3442</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3421</v>
      </c>
      <c r="B40" s="190" t="s">
        <v>3432</v>
      </c>
      <c r="C40" s="191" t="s">
        <v>3443</v>
      </c>
      <c r="D40" s="193" t="s">
        <v>3444</v>
      </c>
      <c r="E40" s="193" t="s">
        <v>3445</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3421</v>
      </c>
      <c r="B41" s="190" t="s">
        <v>3432</v>
      </c>
      <c r="C41" s="191" t="s">
        <v>3446</v>
      </c>
      <c r="D41" s="193" t="s">
        <v>3447</v>
      </c>
      <c r="E41" s="193" t="s">
        <v>3448</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3421</v>
      </c>
      <c r="B42" s="190" t="s">
        <v>3432</v>
      </c>
      <c r="C42" s="191" t="s">
        <v>3449</v>
      </c>
      <c r="D42" s="193" t="s">
        <v>3450</v>
      </c>
      <c r="E42" s="193" t="s">
        <v>3451</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3421</v>
      </c>
      <c r="B43" s="190" t="s">
        <v>3432</v>
      </c>
      <c r="C43" s="191" t="s">
        <v>3452</v>
      </c>
      <c r="D43" s="193" t="s">
        <v>3453</v>
      </c>
      <c r="E43" s="193" t="s">
        <v>3454</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3421</v>
      </c>
      <c r="B44" s="190" t="s">
        <v>3432</v>
      </c>
      <c r="C44" s="191" t="s">
        <v>3455</v>
      </c>
      <c r="D44" s="193" t="s">
        <v>3456</v>
      </c>
      <c r="E44" s="193" t="s">
        <v>3457</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3421</v>
      </c>
      <c r="B45" s="190" t="s">
        <v>3432</v>
      </c>
      <c r="C45" s="191" t="s">
        <v>3458</v>
      </c>
      <c r="D45" s="193" t="s">
        <v>3459</v>
      </c>
      <c r="E45" s="193" t="s">
        <v>3460</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3421</v>
      </c>
      <c r="B46" s="190" t="s">
        <v>3432</v>
      </c>
      <c r="C46" s="191" t="s">
        <v>3461</v>
      </c>
      <c r="D46" s="193" t="s">
        <v>3462</v>
      </c>
      <c r="E46" s="193" t="s">
        <v>3463</v>
      </c>
      <c r="F46" s="195">
        <f>IF(COUNTIF(G46:AT46,"&lt;&gt;")=0,"",SUMPRODUCT(((Recommendations[ImplStatus]="Implemented")+(Recommendations[ImplStatus]="Compensated"))*ISNUMBER(MATCH(Recommendations[Id],G46:AT46,0)))/COUNTIF(G46:AT46,"&lt;&gt;"))</f>
        <v>0</v>
      </c>
      <c r="G46" s="197" t="s">
        <v>288</v>
      </c>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3421</v>
      </c>
      <c r="B47" s="190" t="s">
        <v>3432</v>
      </c>
      <c r="C47" s="191" t="s">
        <v>3464</v>
      </c>
      <c r="D47" s="193" t="s">
        <v>3465</v>
      </c>
      <c r="E47" s="193" t="s">
        <v>3466</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3421</v>
      </c>
      <c r="B48" s="190" t="s">
        <v>3432</v>
      </c>
      <c r="C48" s="191" t="s">
        <v>3467</v>
      </c>
      <c r="D48" s="193" t="s">
        <v>3468</v>
      </c>
      <c r="E48" s="193" t="s">
        <v>3469</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3421</v>
      </c>
      <c r="B49" s="190" t="s">
        <v>3432</v>
      </c>
      <c r="C49" s="191" t="s">
        <v>3470</v>
      </c>
      <c r="D49" s="193" t="s">
        <v>3471</v>
      </c>
      <c r="E49" s="193" t="s">
        <v>3472</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3421</v>
      </c>
      <c r="B50" s="190" t="s">
        <v>3432</v>
      </c>
      <c r="C50" s="191" t="s">
        <v>3473</v>
      </c>
      <c r="D50" s="193" t="s">
        <v>3474</v>
      </c>
      <c r="E50" s="193" t="s">
        <v>3475</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3421</v>
      </c>
      <c r="B51" s="189" t="s">
        <v>3476</v>
      </c>
      <c r="C51" s="189"/>
      <c r="D51" s="192" t="s">
        <v>3477</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3421</v>
      </c>
      <c r="B52" s="190" t="s">
        <v>3476</v>
      </c>
      <c r="C52" s="191" t="s">
        <v>3478</v>
      </c>
      <c r="D52" s="193" t="s">
        <v>3479</v>
      </c>
      <c r="E52" s="193" t="s">
        <v>3480</v>
      </c>
      <c r="F52" s="195">
        <f>IF(COUNTIF(G52:AT52,"&lt;&gt;")=0,"",SUMPRODUCT(((Recommendations[ImplStatus]="Implemented")+(Recommendations[ImplStatus]="Compensated"))*ISNUMBER(MATCH(Recommendations[Id],G52:AT52,0)))/COUNTIF(G52:AT52,"&lt;&gt;"))</f>
        <v>0</v>
      </c>
      <c r="G52" s="197" t="s">
        <v>68</v>
      </c>
      <c r="H52" s="197" t="s">
        <v>74</v>
      </c>
      <c r="I52" s="197" t="s">
        <v>79</v>
      </c>
      <c r="J52" s="197" t="s">
        <v>104</v>
      </c>
      <c r="K52" s="197" t="s">
        <v>109</v>
      </c>
      <c r="L52" s="197" t="s">
        <v>124</v>
      </c>
      <c r="M52" s="197" t="s">
        <v>129</v>
      </c>
      <c r="N52" s="197" t="s">
        <v>139</v>
      </c>
      <c r="O52" s="197" t="s">
        <v>183</v>
      </c>
      <c r="P52" s="197" t="s">
        <v>188</v>
      </c>
      <c r="Q52" s="197" t="s">
        <v>193</v>
      </c>
      <c r="R52" s="197" t="s">
        <v>485</v>
      </c>
      <c r="S52" s="197" t="s">
        <v>679</v>
      </c>
      <c r="T52" s="197" t="s">
        <v>805</v>
      </c>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3421</v>
      </c>
      <c r="B53" s="190" t="s">
        <v>3476</v>
      </c>
      <c r="C53" s="191" t="s">
        <v>3481</v>
      </c>
      <c r="D53" s="193" t="s">
        <v>3482</v>
      </c>
      <c r="E53" s="193" t="s">
        <v>3483</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3421</v>
      </c>
      <c r="B54" s="190" t="s">
        <v>3476</v>
      </c>
      <c r="C54" s="191" t="s">
        <v>3484</v>
      </c>
      <c r="D54" s="193" t="s">
        <v>3485</v>
      </c>
      <c r="E54" s="193" t="s">
        <v>3486</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3421</v>
      </c>
      <c r="B55" s="190" t="s">
        <v>3476</v>
      </c>
      <c r="C55" s="191" t="s">
        <v>3487</v>
      </c>
      <c r="D55" s="193" t="s">
        <v>3488</v>
      </c>
      <c r="E55" s="193" t="s">
        <v>3489</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3421</v>
      </c>
      <c r="B56" s="190" t="s">
        <v>3476</v>
      </c>
      <c r="C56" s="191" t="s">
        <v>3490</v>
      </c>
      <c r="D56" s="193" t="s">
        <v>3491</v>
      </c>
      <c r="E56" s="193" t="s">
        <v>3492</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3421</v>
      </c>
      <c r="B57" s="190" t="s">
        <v>3476</v>
      </c>
      <c r="C57" s="191" t="s">
        <v>3493</v>
      </c>
      <c r="D57" s="193" t="s">
        <v>3494</v>
      </c>
      <c r="E57" s="193" t="s">
        <v>3495</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3421</v>
      </c>
      <c r="B58" s="190" t="s">
        <v>3476</v>
      </c>
      <c r="C58" s="191" t="s">
        <v>3496</v>
      </c>
      <c r="D58" s="193" t="s">
        <v>3497</v>
      </c>
      <c r="E58" s="193" t="s">
        <v>3498</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3421</v>
      </c>
      <c r="B59" s="190" t="s">
        <v>3476</v>
      </c>
      <c r="C59" s="191" t="s">
        <v>3499</v>
      </c>
      <c r="D59" s="193" t="s">
        <v>3500</v>
      </c>
      <c r="E59" s="193" t="s">
        <v>3501</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3421</v>
      </c>
      <c r="B60" s="190" t="s">
        <v>3502</v>
      </c>
      <c r="C60" s="191" t="s">
        <v>3503</v>
      </c>
      <c r="D60" s="193" t="s">
        <v>3504</v>
      </c>
      <c r="E60" s="193" t="s">
        <v>3505</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3421</v>
      </c>
      <c r="B61" s="190" t="s">
        <v>3502</v>
      </c>
      <c r="C61" s="191" t="s">
        <v>3506</v>
      </c>
      <c r="D61" s="193" t="s">
        <v>3507</v>
      </c>
      <c r="E61" s="193" t="s">
        <v>3508</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3421</v>
      </c>
      <c r="B62" s="189" t="s">
        <v>3509</v>
      </c>
      <c r="C62" s="189"/>
      <c r="D62" s="192" t="s">
        <v>3510</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3421</v>
      </c>
      <c r="B63" s="190" t="s">
        <v>3509</v>
      </c>
      <c r="C63" s="191" t="s">
        <v>3511</v>
      </c>
      <c r="D63" s="193" t="s">
        <v>3512</v>
      </c>
      <c r="E63" s="193" t="s">
        <v>3513</v>
      </c>
      <c r="F63" s="195">
        <f>IF(COUNTIF(G63:AT63,"&lt;&gt;")=0,"",SUMPRODUCT(((Recommendations[ImplStatus]="Implemented")+(Recommendations[ImplStatus]="Compensated"))*ISNUMBER(MATCH(Recommendations[Id],G63:AT63,0)))/COUNTIF(G63:AT63,"&lt;&gt;"))</f>
        <v>0</v>
      </c>
      <c r="G63" s="197" t="s">
        <v>358</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3421</v>
      </c>
      <c r="B64" s="190" t="s">
        <v>3509</v>
      </c>
      <c r="C64" s="191" t="s">
        <v>3514</v>
      </c>
      <c r="D64" s="193" t="s">
        <v>3515</v>
      </c>
      <c r="E64" s="193" t="s">
        <v>3516</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3421</v>
      </c>
      <c r="B65" s="190" t="s">
        <v>3509</v>
      </c>
      <c r="C65" s="191" t="s">
        <v>3517</v>
      </c>
      <c r="D65" s="193" t="s">
        <v>3518</v>
      </c>
      <c r="E65" s="193" t="s">
        <v>3519</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3421</v>
      </c>
      <c r="B66" s="190" t="s">
        <v>3509</v>
      </c>
      <c r="C66" s="191" t="s">
        <v>3520</v>
      </c>
      <c r="D66" s="193" t="s">
        <v>3521</v>
      </c>
      <c r="E66" s="193" t="s">
        <v>3522</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3421</v>
      </c>
      <c r="B67" s="190" t="s">
        <v>3509</v>
      </c>
      <c r="C67" s="191" t="s">
        <v>3523</v>
      </c>
      <c r="D67" s="193" t="s">
        <v>3524</v>
      </c>
      <c r="E67" s="193" t="s">
        <v>3525</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3421</v>
      </c>
      <c r="B68" s="190" t="s">
        <v>3509</v>
      </c>
      <c r="C68" s="191" t="s">
        <v>3526</v>
      </c>
      <c r="D68" s="193" t="s">
        <v>3527</v>
      </c>
      <c r="E68" s="193" t="s">
        <v>3528</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3421</v>
      </c>
      <c r="B69" s="190" t="s">
        <v>3509</v>
      </c>
      <c r="C69" s="191" t="s">
        <v>3529</v>
      </c>
      <c r="D69" s="193" t="s">
        <v>3530</v>
      </c>
      <c r="E69" s="193" t="s">
        <v>3531</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3421</v>
      </c>
      <c r="B70" s="190" t="s">
        <v>3509</v>
      </c>
      <c r="C70" s="191" t="s">
        <v>3532</v>
      </c>
      <c r="D70" s="193" t="s">
        <v>3533</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3421</v>
      </c>
      <c r="B71" s="190" t="s">
        <v>3509</v>
      </c>
      <c r="C71" s="191" t="s">
        <v>3534</v>
      </c>
      <c r="D71" s="193" t="s">
        <v>3535</v>
      </c>
      <c r="E71" s="193" t="s">
        <v>3536</v>
      </c>
      <c r="F71" s="195">
        <f>IF(COUNTIF(G71:AT71,"&lt;&gt;")=0,"",SUMPRODUCT(((Recommendations[ImplStatus]="Implemented")+(Recommendations[ImplStatus]="Compensated"))*ISNUMBER(MATCH(Recommendations[Id],G71:AT71,0)))/COUNTIF(G71:AT71,"&lt;&gt;"))</f>
        <v>0</v>
      </c>
      <c r="G71" s="197" t="s">
        <v>358</v>
      </c>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3421</v>
      </c>
      <c r="B72" s="190" t="s">
        <v>3509</v>
      </c>
      <c r="C72" s="191" t="s">
        <v>3537</v>
      </c>
      <c r="D72" s="193" t="s">
        <v>3538</v>
      </c>
      <c r="E72" s="193" t="s">
        <v>3539</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3421</v>
      </c>
      <c r="B73" s="190" t="s">
        <v>3509</v>
      </c>
      <c r="C73" s="191" t="s">
        <v>3540</v>
      </c>
      <c r="D73" s="193" t="s">
        <v>3541</v>
      </c>
      <c r="E73" s="193" t="s">
        <v>3542</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3421</v>
      </c>
      <c r="B74" s="190" t="s">
        <v>3509</v>
      </c>
      <c r="C74" s="191" t="s">
        <v>3543</v>
      </c>
      <c r="D74" s="193" t="s">
        <v>3544</v>
      </c>
      <c r="E74" s="193" t="s">
        <v>3545</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3421</v>
      </c>
      <c r="B75" s="190" t="s">
        <v>3509</v>
      </c>
      <c r="C75" s="191" t="s">
        <v>3546</v>
      </c>
      <c r="D75" s="193" t="s">
        <v>3547</v>
      </c>
      <c r="E75" s="193" t="s">
        <v>3548</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3421</v>
      </c>
      <c r="B76" s="190" t="s">
        <v>3509</v>
      </c>
      <c r="C76" s="191" t="s">
        <v>3549</v>
      </c>
      <c r="D76" s="193" t="s">
        <v>3550</v>
      </c>
      <c r="E76" s="193" t="s">
        <v>3551</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3421</v>
      </c>
      <c r="B77" s="190" t="s">
        <v>3509</v>
      </c>
      <c r="C77" s="191" t="s">
        <v>3552</v>
      </c>
      <c r="D77" s="193" t="s">
        <v>3553</v>
      </c>
      <c r="E77" s="193" t="s">
        <v>3554</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3421</v>
      </c>
      <c r="B78" s="190" t="s">
        <v>3509</v>
      </c>
      <c r="C78" s="191" t="s">
        <v>3555</v>
      </c>
      <c r="D78" s="193" t="s">
        <v>3556</v>
      </c>
      <c r="E78" s="193" t="s">
        <v>3557</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3421</v>
      </c>
      <c r="B79" s="189" t="s">
        <v>3509</v>
      </c>
      <c r="C79" s="189"/>
      <c r="D79" s="192" t="s">
        <v>3558</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3559</v>
      </c>
      <c r="B80" s="190"/>
      <c r="C80" s="191" t="s">
        <v>3560</v>
      </c>
      <c r="D80" s="193" t="s">
        <v>3561</v>
      </c>
      <c r="E80" s="193" t="s">
        <v>3562</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3559</v>
      </c>
      <c r="B81" s="190"/>
      <c r="C81" s="191" t="s">
        <v>3563</v>
      </c>
      <c r="D81" s="193" t="s">
        <v>3564</v>
      </c>
      <c r="E81" s="193" t="s">
        <v>3565</v>
      </c>
      <c r="F81" s="195">
        <f>IF(COUNTIF(G81:AT81,"&lt;&gt;")=0,"",SUMPRODUCT(((Recommendations[ImplStatus]="Implemented")+(Recommendations[ImplStatus]="Compensated"))*ISNUMBER(MATCH(Recommendations[Id],G81:AT81,0)))/COUNTIF(G81:AT81,"&lt;&gt;"))</f>
        <v>0</v>
      </c>
      <c r="G81" s="197" t="s">
        <v>198</v>
      </c>
      <c r="H81" s="197" t="s">
        <v>373</v>
      </c>
      <c r="I81" s="197" t="s">
        <v>413</v>
      </c>
      <c r="J81" s="197" t="s">
        <v>530</v>
      </c>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3559</v>
      </c>
      <c r="B82" s="190"/>
      <c r="C82" s="191" t="s">
        <v>3566</v>
      </c>
      <c r="D82" s="193" t="s">
        <v>3567</v>
      </c>
      <c r="E82" s="193" t="s">
        <v>3568</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3559</v>
      </c>
      <c r="B83" s="190"/>
      <c r="C83" s="191" t="s">
        <v>3569</v>
      </c>
      <c r="D83" s="193" t="s">
        <v>3570</v>
      </c>
      <c r="E83" s="193" t="s">
        <v>3571</v>
      </c>
      <c r="F83" s="195">
        <f>IF(COUNTIF(G83:AT83,"&lt;&gt;")=0,"",SUMPRODUCT(((Recommendations[ImplStatus]="Implemented")+(Recommendations[ImplStatus]="Compensated"))*ISNUMBER(MATCH(Recommendations[Id],G83:AT83,0)))/COUNTIF(G83:AT83,"&lt;&gt;"))</f>
        <v>0</v>
      </c>
      <c r="G83" s="197" t="s">
        <v>14</v>
      </c>
      <c r="H83" s="197" t="s">
        <v>398</v>
      </c>
      <c r="I83" s="197" t="s">
        <v>590</v>
      </c>
      <c r="J83" s="197" t="s">
        <v>613</v>
      </c>
      <c r="K83" s="197" t="s">
        <v>840</v>
      </c>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3559</v>
      </c>
      <c r="B84" s="189"/>
      <c r="C84" s="189"/>
      <c r="D84" s="192" t="s">
        <v>3572</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3573</v>
      </c>
      <c r="B85" s="190"/>
      <c r="C85" s="191" t="s">
        <v>3574</v>
      </c>
      <c r="D85" s="193" t="s">
        <v>3575</v>
      </c>
      <c r="E85" s="193" t="s">
        <v>3576</v>
      </c>
      <c r="F85" s="195">
        <f>IF(COUNTIF(G85:AT85,"&lt;&gt;")=0,"",SUMPRODUCT(((Recommendations[ImplStatus]="Implemented")+(Recommendations[ImplStatus]="Compensated"))*ISNUMBER(MATCH(Recommendations[Id],G85:AT85,0)))/COUNTIF(G85:AT85,"&lt;&gt;"))</f>
        <v>0</v>
      </c>
      <c r="G85" s="197" t="s">
        <v>495</v>
      </c>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3573</v>
      </c>
      <c r="B86" s="190"/>
      <c r="C86" s="191" t="s">
        <v>3577</v>
      </c>
      <c r="D86" s="193" t="s">
        <v>3578</v>
      </c>
      <c r="E86" s="193" t="s">
        <v>3579</v>
      </c>
      <c r="F86" s="195">
        <f>IF(COUNTIF(G86:AT86,"&lt;&gt;")=0,"",SUMPRODUCT(((Recommendations[ImplStatus]="Implemented")+(Recommendations[ImplStatus]="Compensated"))*ISNUMBER(MATCH(Recommendations[Id],G86:AT86,0)))/COUNTIF(G86:AT86,"&lt;&gt;"))</f>
        <v>0</v>
      </c>
      <c r="G86" s="197" t="s">
        <v>84</v>
      </c>
      <c r="H86" s="197" t="s">
        <v>418</v>
      </c>
      <c r="I86" s="197" t="s">
        <v>510</v>
      </c>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3573</v>
      </c>
      <c r="B87" s="190"/>
      <c r="C87" s="191" t="s">
        <v>3580</v>
      </c>
      <c r="D87" s="193" t="s">
        <v>3581</v>
      </c>
      <c r="E87" s="193" t="s">
        <v>3582</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3573</v>
      </c>
      <c r="B88" s="190"/>
      <c r="C88" s="191" t="s">
        <v>3583</v>
      </c>
      <c r="D88" s="193" t="s">
        <v>3584</v>
      </c>
      <c r="E88" s="193" t="s">
        <v>3585</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3573</v>
      </c>
      <c r="B89" s="190"/>
      <c r="C89" s="191" t="s">
        <v>3586</v>
      </c>
      <c r="D89" s="193" t="s">
        <v>3587</v>
      </c>
      <c r="E89" s="193" t="s">
        <v>3588</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3573</v>
      </c>
      <c r="B90" s="189" t="s">
        <v>3589</v>
      </c>
      <c r="C90" s="189"/>
      <c r="D90" s="192" t="s">
        <v>3590</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3573</v>
      </c>
      <c r="B91" s="190" t="s">
        <v>3589</v>
      </c>
      <c r="C91" s="191" t="s">
        <v>3591</v>
      </c>
      <c r="D91" s="193" t="s">
        <v>3592</v>
      </c>
      <c r="E91" s="193" t="s">
        <v>3593</v>
      </c>
      <c r="F91" s="195">
        <f>IF(COUNTIF(G91:AT91,"&lt;&gt;")=0,"",SUMPRODUCT(((Recommendations[ImplStatus]="Implemented")+(Recommendations[ImplStatus]="Compensated"))*ISNUMBER(MATCH(Recommendations[Id],G91:AT91,0)))/COUNTIF(G91:AT91,"&lt;&gt;"))</f>
        <v>0</v>
      </c>
      <c r="G91" s="197" t="s">
        <v>174</v>
      </c>
      <c r="H91" s="197" t="s">
        <v>377</v>
      </c>
      <c r="I91" s="197" t="s">
        <v>388</v>
      </c>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3573</v>
      </c>
      <c r="B92" s="190" t="s">
        <v>3589</v>
      </c>
      <c r="C92" s="191" t="s">
        <v>3594</v>
      </c>
      <c r="D92" s="193" t="s">
        <v>3595</v>
      </c>
      <c r="E92" s="193" t="s">
        <v>3596</v>
      </c>
      <c r="F92" s="195">
        <f>IF(COUNTIF(G92:AT92,"&lt;&gt;")=0,"",SUMPRODUCT(((Recommendations[ImplStatus]="Implemented")+(Recommendations[ImplStatus]="Compensated"))*ISNUMBER(MATCH(Recommendations[Id],G92:AT92,0)))/COUNTIF(G92:AT92,"&lt;&gt;"))</f>
        <v>0</v>
      </c>
      <c r="G92" s="197" t="s">
        <v>169</v>
      </c>
      <c r="H92" s="197" t="s">
        <v>544</v>
      </c>
      <c r="I92" s="197" t="s">
        <v>549</v>
      </c>
      <c r="J92" s="197" t="s">
        <v>553</v>
      </c>
      <c r="K92" s="197" t="s">
        <v>557</v>
      </c>
      <c r="L92" s="197" t="s">
        <v>561</v>
      </c>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3589</v>
      </c>
      <c r="C93" s="191" t="s">
        <v>3597</v>
      </c>
      <c r="D93" s="193" t="s">
        <v>3598</v>
      </c>
      <c r="E93" s="193" t="s">
        <v>3599</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3589</v>
      </c>
      <c r="C94" s="191" t="s">
        <v>3600</v>
      </c>
      <c r="D94" s="193" t="s">
        <v>3601</v>
      </c>
      <c r="E94" s="193" t="s">
        <v>3602</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3589</v>
      </c>
      <c r="C95" s="191" t="s">
        <v>3603</v>
      </c>
      <c r="D95" s="193" t="s">
        <v>3604</v>
      </c>
      <c r="E95" s="193" t="s">
        <v>3605</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3589</v>
      </c>
      <c r="C96" s="191" t="s">
        <v>3606</v>
      </c>
      <c r="D96" s="193" t="s">
        <v>3607</v>
      </c>
      <c r="E96" s="193" t="s">
        <v>3608</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3589</v>
      </c>
      <c r="C97" s="191" t="s">
        <v>3609</v>
      </c>
      <c r="D97" s="193" t="s">
        <v>3610</v>
      </c>
      <c r="E97" s="193" t="s">
        <v>3611</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3589</v>
      </c>
      <c r="C98" s="191" t="s">
        <v>3612</v>
      </c>
      <c r="D98" s="193" t="s">
        <v>3613</v>
      </c>
      <c r="E98" s="193" t="s">
        <v>3614</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3615</v>
      </c>
      <c r="C99" s="189"/>
      <c r="D99" s="192" t="s">
        <v>3616</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3615</v>
      </c>
      <c r="C100" s="191" t="s">
        <v>3617</v>
      </c>
      <c r="D100" s="193" t="s">
        <v>3618</v>
      </c>
      <c r="E100" s="193" t="s">
        <v>3619</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3615</v>
      </c>
      <c r="C101" s="191" t="s">
        <v>3620</v>
      </c>
      <c r="D101" s="193" t="s">
        <v>3621</v>
      </c>
      <c r="E101" s="193" t="s">
        <v>3622</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3615</v>
      </c>
      <c r="C102" s="191" t="s">
        <v>3623</v>
      </c>
      <c r="D102" s="193" t="s">
        <v>3624</v>
      </c>
      <c r="E102" s="193" t="s">
        <v>3625</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3615</v>
      </c>
      <c r="C103" s="191" t="s">
        <v>3626</v>
      </c>
      <c r="D103" s="193" t="s">
        <v>3627</v>
      </c>
      <c r="E103" s="193" t="s">
        <v>3628</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3615</v>
      </c>
      <c r="C104" s="199" t="s">
        <v>3629</v>
      </c>
      <c r="D104" s="200" t="s">
        <v>3630</v>
      </c>
      <c r="E104" s="200" t="s">
        <v>3631</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865</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IFERROR(INDEX('Recommendations'!$H$2:$H$178, MATCH(G2,'Recommendations'!$A$2:$A$178,0))="Implemented", FALSE))</xm:f>
            <x14:dxf>
              <font>
                <color rgb="FF000000"/>
              </font>
              <fill>
                <patternFill>
                  <bgColor rgb="FF3C7D22"/>
                </patternFill>
              </fill>
            </x14:dxf>
          </x14:cfRule>
          <x14:cfRule type="expression" priority="2" id="{00000000-000E-0000-0800-000002000000}">
            <xm:f>AND(G2&lt;&gt;"", IFERROR(INDEX('Recommendations'!$H$2:$H$178, MATCH(G2,'Recommendations'!$A$2:$A$178,0))="Compensated", FALSE))</xm:f>
            <x14:dxf>
              <font>
                <color rgb="FF000000"/>
              </font>
              <fill>
                <patternFill>
                  <bgColor rgb="FFC6E0B4"/>
                </patternFill>
              </fill>
            </x14:dxf>
          </x14:cfRule>
          <x14:cfRule type="expression" priority="3" id="{00000000-000E-0000-0800-000003000000}">
            <xm:f>AND(G2&lt;&gt;"", IFERROR(INDEX('Recommendations'!$H$2:$H$178, MATCH(G2,'Recommendations'!$A$2:$A$178,0))="Testing", FALSE))</xm:f>
            <x14:dxf>
              <font>
                <color rgb="FF000000"/>
              </font>
              <fill>
                <patternFill>
                  <bgColor rgb="FFFFC000"/>
                </patternFill>
              </fill>
            </x14:dxf>
          </x14:cfRule>
          <x14:cfRule type="expression" priority="4" id="{00000000-000E-0000-0800-000004000000}">
            <xm:f>AND(G2&lt;&gt;"", IFERROR(INDEX('Recommendations'!$H$2:$H$178, MATCH(G2,'Recommendations'!$A$2:$A$178,0))="Failed", FALSE))</xm:f>
            <x14:dxf>
              <font>
                <color rgb="FF000000"/>
              </font>
              <fill>
                <patternFill>
                  <bgColor rgb="FFD82891"/>
                </patternFill>
              </fill>
            </x14:dxf>
          </x14:cfRule>
          <x14:cfRule type="expression" priority="5" id="{00000000-000E-0000-0800-000005000000}">
            <xm:f>AND(G2&lt;&gt;"", IFERROR(INDEX('Recommendations'!$H$2:$H$178, MATCH(G2,'Recommendations'!$A$2:$A$178,0))="Risk Accepted", FALSE))</xm:f>
            <x14:dxf>
              <font>
                <color rgb="FF000000"/>
              </font>
              <fill>
                <patternFill>
                  <bgColor rgb="FFD9D9D9"/>
                </patternFill>
              </fill>
            </x14:dxf>
          </x14:cfRule>
          <x14:cfRule type="expression" priority="6" id="{00000000-000E-0000-0800-000006000000}">
            <xm:f>AND(G2&lt;&gt;"", IFERROR(INDEX('Recommendations'!$H$2:$H$178, MATCH(G2,'Recommendations'!$A$2:$A$178,0))="N/A",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Security Technical Implementation Guide - SHGIR</dc:title>
  <dc:subject>Generated on: 2026-06-08 13:48:15</dc:subject>
  <dc:creator>Anicet Fopa Tchoffo</dc:creator>
  <cp:keywords>Baseline;Hardening;DISA;STIG</cp:keywords>
  <dc:description>Baseline Developed By: VMware and Defense Information Systems Agency (DISA) for the US DoD</dc:description>
  <cp:lastModifiedBy>Anicet Fopa Tchoffo</cp:lastModifiedBy>
  <dcterms:modified xsi:type="dcterms:W3CDTF">2026-06-08T12:48:28Z</dcterms:modified>
  <cp:category>DISA-STIG</cp:category>
  <cp:contentStatus>Draft</cp:contentStatus>
</cp:coreProperties>
</file>