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EE634D6DBF72328FF36094BE5B3AC9AFC943D88F" xr6:coauthVersionLast="47" xr6:coauthVersionMax="47" xr10:uidLastSave="{0079A789-0502-4884-92EB-39E644F3B7B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F135" i="3" s="1"/>
  <c r="M3" i="1"/>
  <c r="M2" i="1"/>
  <c r="R210" i="3"/>
  <c r="R209" i="3"/>
  <c r="R208" i="3"/>
  <c r="R207" i="3"/>
  <c r="R206" i="3"/>
  <c r="R205" i="3"/>
  <c r="R204" i="3"/>
  <c r="R203" i="3"/>
  <c r="R202" i="3"/>
  <c r="R201" i="3"/>
  <c r="R200" i="3"/>
  <c r="R199" i="3"/>
  <c r="R198" i="3"/>
  <c r="R197" i="3"/>
  <c r="R196" i="3"/>
  <c r="R195" i="3"/>
  <c r="R194" i="3"/>
  <c r="R193" i="3"/>
  <c r="R192" i="3"/>
  <c r="R191" i="3"/>
  <c r="O135" i="3"/>
  <c r="N135" i="3"/>
  <c r="M135" i="3"/>
  <c r="L135" i="3"/>
  <c r="K135" i="3"/>
  <c r="E135" i="3"/>
  <c r="O134" i="3"/>
  <c r="N134" i="3"/>
  <c r="M134" i="3"/>
  <c r="L134" i="3"/>
  <c r="K134" i="3"/>
  <c r="F134" i="3"/>
  <c r="E134" i="3"/>
  <c r="G134" i="3" s="1"/>
  <c r="O133" i="3"/>
  <c r="N133" i="3"/>
  <c r="M133" i="3"/>
  <c r="L133" i="3"/>
  <c r="K133" i="3"/>
  <c r="F133" i="3"/>
  <c r="E133" i="3"/>
  <c r="G133" i="3" s="1"/>
  <c r="O132" i="3"/>
  <c r="N132" i="3"/>
  <c r="M132" i="3"/>
  <c r="L132" i="3"/>
  <c r="K132" i="3"/>
  <c r="F132" i="3"/>
  <c r="E132" i="3"/>
  <c r="G132" i="3" s="1"/>
  <c r="O131" i="3"/>
  <c r="N131" i="3"/>
  <c r="M131" i="3"/>
  <c r="L131" i="3"/>
  <c r="K131" i="3"/>
  <c r="F131" i="3"/>
  <c r="E131" i="3"/>
  <c r="G131" i="3" s="1"/>
  <c r="O130" i="3"/>
  <c r="N130" i="3"/>
  <c r="M130" i="3"/>
  <c r="L130" i="3"/>
  <c r="K130" i="3"/>
  <c r="F130" i="3"/>
  <c r="E130" i="3"/>
  <c r="G130" i="3" s="1"/>
  <c r="E116" i="3"/>
  <c r="D116" i="3"/>
  <c r="C116" i="3"/>
  <c r="F116" i="3" s="1"/>
  <c r="E115" i="3"/>
  <c r="D115" i="3"/>
  <c r="C115" i="3"/>
  <c r="F115" i="3" s="1"/>
  <c r="E114" i="3"/>
  <c r="D114" i="3"/>
  <c r="C114" i="3"/>
  <c r="F114" i="3" s="1"/>
  <c r="E113" i="3"/>
  <c r="D113" i="3"/>
  <c r="C113" i="3"/>
  <c r="F113" i="3" s="1"/>
  <c r="C101" i="3"/>
  <c r="E96" i="3"/>
  <c r="D96" i="3"/>
  <c r="C96" i="3"/>
  <c r="F96" i="3" s="1"/>
  <c r="F95" i="3"/>
  <c r="D103" i="3" s="1"/>
  <c r="E95" i="3"/>
  <c r="D95" i="3"/>
  <c r="C95" i="3"/>
  <c r="E94" i="3"/>
  <c r="D94" i="3"/>
  <c r="C94" i="3"/>
  <c r="W146" i="3" s="1"/>
  <c r="F93" i="3"/>
  <c r="V176" i="3" s="1"/>
  <c r="E93" i="3"/>
  <c r="D93" i="3"/>
  <c r="C93" i="3"/>
  <c r="U146" i="3" s="1"/>
  <c r="F92" i="3"/>
  <c r="T176" i="3" s="1"/>
  <c r="E92" i="3"/>
  <c r="D92" i="3"/>
  <c r="C92" i="3"/>
  <c r="S146" i="3" s="1"/>
  <c r="E77" i="3"/>
  <c r="D77" i="3"/>
  <c r="C77" i="3"/>
  <c r="F77" i="3" s="1"/>
  <c r="E76" i="3"/>
  <c r="D76" i="3"/>
  <c r="C76" i="3"/>
  <c r="F76" i="3" s="1"/>
  <c r="E75" i="3"/>
  <c r="D75" i="3"/>
  <c r="C75" i="3"/>
  <c r="F75" i="3" s="1"/>
  <c r="E57" i="3"/>
  <c r="D57" i="3"/>
  <c r="C57" i="3"/>
  <c r="F57" i="3" s="1"/>
  <c r="E56" i="3"/>
  <c r="F56" i="3" s="1"/>
  <c r="D56" i="3"/>
  <c r="C56" i="3"/>
  <c r="E55" i="3"/>
  <c r="D55" i="3"/>
  <c r="C55" i="3"/>
  <c r="F55" i="3" s="1"/>
  <c r="E54" i="3"/>
  <c r="D54" i="3"/>
  <c r="C54" i="3"/>
  <c r="F54" i="3" s="1"/>
  <c r="E53" i="3"/>
  <c r="F53" i="3" s="1"/>
  <c r="D53" i="3"/>
  <c r="C53" i="3"/>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Q146" i="3" s="1"/>
  <c r="D9" i="3"/>
  <c r="C9" i="3"/>
  <c r="C8" i="3"/>
  <c r="D8" i="3" s="1"/>
  <c r="E122" i="3" l="1"/>
  <c r="D122" i="3"/>
  <c r="C122" i="3"/>
  <c r="C42" i="3"/>
  <c r="E42" i="3"/>
  <c r="D42" i="3"/>
  <c r="E61" i="3"/>
  <c r="D61" i="3"/>
  <c r="C61" i="3"/>
  <c r="G135" i="3"/>
  <c r="C41" i="3"/>
  <c r="D41" i="3"/>
  <c r="E41" i="3"/>
  <c r="E65" i="3"/>
  <c r="D65" i="3"/>
  <c r="C65" i="3"/>
  <c r="D82" i="3"/>
  <c r="E82" i="3"/>
  <c r="C82" i="3"/>
  <c r="E38" i="3"/>
  <c r="D38" i="3"/>
  <c r="C38" i="3"/>
  <c r="E62" i="3"/>
  <c r="D62" i="3"/>
  <c r="C62" i="3"/>
  <c r="D43" i="3"/>
  <c r="E43" i="3"/>
  <c r="C43" i="3"/>
  <c r="D63" i="3"/>
  <c r="E63" i="3"/>
  <c r="C63" i="3"/>
  <c r="E66" i="3"/>
  <c r="D66" i="3"/>
  <c r="C66" i="3"/>
  <c r="E104" i="3"/>
  <c r="D104" i="3"/>
  <c r="C104" i="3"/>
  <c r="E83" i="3"/>
  <c r="D83" i="3"/>
  <c r="C83" i="3"/>
  <c r="E39" i="3"/>
  <c r="D39" i="3"/>
  <c r="C39" i="3"/>
  <c r="E120" i="3"/>
  <c r="D120" i="3"/>
  <c r="C120" i="3"/>
  <c r="E40" i="3"/>
  <c r="D40" i="3"/>
  <c r="C40" i="3"/>
  <c r="E81" i="3"/>
  <c r="D81" i="3"/>
  <c r="C81" i="3"/>
  <c r="C64" i="3"/>
  <c r="E64" i="3"/>
  <c r="D64" i="3"/>
  <c r="E121" i="3"/>
  <c r="D121" i="3"/>
  <c r="C121" i="3"/>
  <c r="E123" i="3"/>
  <c r="D123" i="3"/>
  <c r="C123" i="3"/>
  <c r="F16" i="3"/>
  <c r="F94" i="3"/>
  <c r="E103" i="3"/>
  <c r="T152" i="3"/>
  <c r="T157" i="3"/>
  <c r="T162" i="3"/>
  <c r="T167" i="3"/>
  <c r="T172" i="3"/>
  <c r="T177" i="3"/>
  <c r="V152" i="3"/>
  <c r="V157" i="3"/>
  <c r="V162" i="3"/>
  <c r="V167" i="3"/>
  <c r="V172" i="3"/>
  <c r="V177" i="3"/>
  <c r="T148" i="3"/>
  <c r="T153" i="3"/>
  <c r="T158" i="3"/>
  <c r="T163" i="3"/>
  <c r="T168" i="3"/>
  <c r="T173" i="3"/>
  <c r="T178" i="3"/>
  <c r="V148" i="3"/>
  <c r="V153" i="3"/>
  <c r="V158" i="3"/>
  <c r="V163" i="3"/>
  <c r="V168" i="3"/>
  <c r="V173" i="3"/>
  <c r="V178" i="3"/>
  <c r="C100" i="3"/>
  <c r="T149" i="3"/>
  <c r="T154" i="3"/>
  <c r="T159" i="3"/>
  <c r="T164" i="3"/>
  <c r="T169" i="3"/>
  <c r="T174" i="3"/>
  <c r="D100" i="3"/>
  <c r="V149" i="3"/>
  <c r="V154" i="3"/>
  <c r="V159" i="3"/>
  <c r="V164" i="3"/>
  <c r="V169" i="3"/>
  <c r="V174" i="3"/>
  <c r="C7" i="3"/>
  <c r="D7" i="3" s="1"/>
  <c r="E100" i="3"/>
  <c r="D101" i="3"/>
  <c r="T150" i="3"/>
  <c r="T155" i="3"/>
  <c r="T160" i="3"/>
  <c r="T165" i="3"/>
  <c r="T170" i="3"/>
  <c r="T175" i="3"/>
  <c r="E101" i="3"/>
  <c r="V150" i="3"/>
  <c r="V155" i="3"/>
  <c r="V160" i="3"/>
  <c r="V165" i="3"/>
  <c r="V170" i="3"/>
  <c r="V175" i="3"/>
  <c r="T151" i="3"/>
  <c r="T156" i="3"/>
  <c r="T161" i="3"/>
  <c r="T166" i="3"/>
  <c r="T171" i="3"/>
  <c r="C103" i="3"/>
  <c r="V151" i="3"/>
  <c r="V156" i="3"/>
  <c r="V161" i="3"/>
  <c r="V166" i="3"/>
  <c r="V171" i="3"/>
  <c r="X176" i="3" l="1"/>
  <c r="X171" i="3"/>
  <c r="X166" i="3"/>
  <c r="X161" i="3"/>
  <c r="X156" i="3"/>
  <c r="X151" i="3"/>
  <c r="D102" i="3"/>
  <c r="E102" i="3"/>
  <c r="X175" i="3"/>
  <c r="X170" i="3"/>
  <c r="X165" i="3"/>
  <c r="X160" i="3"/>
  <c r="X155" i="3"/>
  <c r="X150" i="3"/>
  <c r="C102" i="3"/>
  <c r="X174" i="3"/>
  <c r="X169" i="3"/>
  <c r="X164" i="3"/>
  <c r="X159" i="3"/>
  <c r="X154" i="3"/>
  <c r="X149" i="3"/>
  <c r="X178" i="3"/>
  <c r="X173" i="3"/>
  <c r="X168" i="3"/>
  <c r="X163" i="3"/>
  <c r="X158" i="3"/>
  <c r="X153" i="3"/>
  <c r="X148" i="3"/>
  <c r="X177" i="3"/>
  <c r="X172" i="3"/>
  <c r="X167" i="3"/>
  <c r="X162" i="3"/>
  <c r="X157" i="3"/>
  <c r="X152" i="3"/>
  <c r="R176" i="3"/>
  <c r="R171" i="3"/>
  <c r="R166" i="3"/>
  <c r="R161" i="3"/>
  <c r="R156" i="3"/>
  <c r="R151" i="3"/>
  <c r="R175" i="3"/>
  <c r="R170" i="3"/>
  <c r="R165" i="3"/>
  <c r="R160" i="3"/>
  <c r="R155" i="3"/>
  <c r="R150" i="3"/>
  <c r="R174" i="3"/>
  <c r="R169" i="3"/>
  <c r="R164" i="3"/>
  <c r="R159" i="3"/>
  <c r="R154" i="3"/>
  <c r="R149" i="3"/>
  <c r="R178" i="3"/>
  <c r="R173" i="3"/>
  <c r="R168" i="3"/>
  <c r="R163" i="3"/>
  <c r="R158" i="3"/>
  <c r="R153" i="3"/>
  <c r="R148" i="3"/>
  <c r="E20" i="3"/>
  <c r="C20" i="3"/>
  <c r="D20" i="3"/>
  <c r="R177" i="3"/>
  <c r="R172" i="3"/>
  <c r="R167" i="3"/>
  <c r="R162" i="3"/>
  <c r="R157" i="3"/>
  <c r="R15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NSX Manager must only enable TLS 1.2 or greater.</t>
        </r>
      </text>
    </comment>
    <comment ref="K26" authorId="0" shapeId="0" xr:uid="{00000000-0006-0000-0400-000002000000}">
      <text>
        <r>
          <rPr>
            <sz val="11"/>
            <rFont val="Calibri"/>
          </rPr>
          <t>The NSX Manager must enable the global FIPS compliance mode for load balancers.</t>
        </r>
      </text>
    </comment>
    <comment ref="J34" authorId="0" shapeId="0" xr:uid="{00000000-0006-0000-0400-000003000000}">
      <text>
        <r>
          <rPr>
            <sz val="11"/>
            <rFont val="Calibri"/>
          </rPr>
          <t>The NSX Manager must terminate all network connections associated with a session after five minutes of inactivity.</t>
        </r>
      </text>
    </comment>
    <comment ref="J35" authorId="0" shapeId="0" xr:uid="{00000000-0006-0000-0400-000004000000}">
      <text>
        <r>
          <rPr>
            <sz val="11"/>
            <rFont val="Calibri"/>
          </rPr>
          <t>The NSX Tier-0 Gateway Firewall must deny network communications traffic by default and allow network communications traffic by exception.</t>
        </r>
      </text>
    </comment>
    <comment ref="K35" authorId="0" shapeId="0" xr:uid="{00000000-0006-0000-0400-000006000000}">
      <text>
        <r>
          <rPr>
            <sz val="11"/>
            <rFont val="Calibri"/>
          </rPr>
          <t>The NSX Tier-1 Gateway firewall must deny network communications traffic by default and allow network communications traffic by exception.</t>
        </r>
      </text>
    </comment>
    <comment ref="L35" authorId="0" shapeId="0" xr:uid="{00000000-0006-0000-0400-000005000000}">
      <text>
        <r>
          <rPr>
            <sz val="11"/>
            <rFont val="Calibri"/>
          </rPr>
          <t>The NSX Distributed Firewall must deny network communications traffic by default and allow network communications traffic by exception.</t>
        </r>
      </text>
    </comment>
    <comment ref="J39" authorId="0" shapeId="0" xr:uid="{00000000-0006-0000-0400-000007000000}">
      <text>
        <r>
          <rPr>
            <sz val="11"/>
            <rFont val="Calibri"/>
          </rPr>
          <t>The NSX Manager must disable SSH.</t>
        </r>
      </text>
    </comment>
    <comment ref="K39" authorId="0" shapeId="0" xr:uid="{00000000-0006-0000-0400-000012000000}">
      <text>
        <r>
          <rPr>
            <sz val="11"/>
            <rFont val="Calibri"/>
          </rPr>
          <t>The NSX Manager must disable SNMP v2.</t>
        </r>
      </text>
    </comment>
    <comment ref="L39" authorId="0" shapeId="0" xr:uid="{00000000-0006-0000-0400-000013000000}">
      <text>
        <r>
          <rPr>
            <sz val="11"/>
            <rFont val="Calibri"/>
          </rPr>
          <t>The NSX Tier-0 Gateway router must be configured to disable Protocol Independent Multicast (PIM) on all interfaces that are not required to support multicast routing.</t>
        </r>
      </text>
    </comment>
    <comment ref="M39" authorId="0" shapeId="0" xr:uid="{00000000-0006-0000-0400-000008000000}">
      <text>
        <r>
          <rPr>
            <sz val="11"/>
            <rFont val="Calibri"/>
          </rPr>
          <t>The NSX Tier-0 Gateway router must be configured to have all inactive interfaces removed.</t>
        </r>
      </text>
    </comment>
    <comment ref="N39" authorId="0" shapeId="0" xr:uid="{00000000-0006-0000-0400-000009000000}">
      <text>
        <r>
          <rPr>
            <sz val="11"/>
            <rFont val="Calibri"/>
          </rPr>
          <t>The NSX Tier-0 Gateway router must be configured to have the Dynamic Host Configuration Protocol (DHCP) service disabled if not in use.</t>
        </r>
      </text>
    </comment>
    <comment ref="O39" authorId="0" shapeId="0" xr:uid="{00000000-0006-0000-0400-00000A000000}">
      <text>
        <r>
          <rPr>
            <sz val="11"/>
            <rFont val="Calibri"/>
          </rPr>
          <t>The NSX Tier-0 Gateway router must be configured to use its loopback address as the source address for Internal Border Gateway Protocol (IBGP) peering sessions.</t>
        </r>
      </text>
    </comment>
    <comment ref="P39" authorId="0" shapeId="0" xr:uid="{00000000-0006-0000-0400-00000B000000}">
      <text>
        <r>
          <rPr>
            <sz val="11"/>
            <rFont val="Calibri"/>
          </rPr>
          <t>The NSX Tier-0 Gateway router must be configured to advertise a hop limit of at least 32 in Router Advertisement messages for IPv6 stateless auto-configuration deployments.</t>
        </r>
      </text>
    </comment>
    <comment ref="Q39" authorId="0" shapeId="0" xr:uid="{00000000-0006-0000-0400-00000C000000}">
      <text>
        <r>
          <rPr>
            <sz val="11"/>
            <rFont val="Calibri"/>
          </rPr>
          <t>The NSX Tier-0 Gateway router must be configured to have routing protocols disabled if not in use.</t>
        </r>
      </text>
    </comment>
    <comment ref="R39" authorId="0" shapeId="0" xr:uid="{00000000-0006-0000-0400-00000D000000}">
      <text>
        <r>
          <rPr>
            <sz val="11"/>
            <rFont val="Calibri"/>
          </rPr>
          <t>The NSX Tier-0 Gateway router must be configured to have multicast disabled if not in use.</t>
        </r>
      </text>
    </comment>
    <comment ref="S39" authorId="0" shapeId="0" xr:uid="{00000000-0006-0000-0400-00000E000000}">
      <text>
        <r>
          <rPr>
            <sz val="11"/>
            <rFont val="Calibri"/>
          </rPr>
          <t>The NSX Tier-1 Gateway router must be configured to have all inactive interfaces removed.</t>
        </r>
      </text>
    </comment>
    <comment ref="T39" authorId="0" shapeId="0" xr:uid="{00000000-0006-0000-0400-00000F000000}">
      <text>
        <r>
          <rPr>
            <sz val="11"/>
            <rFont val="Calibri"/>
          </rPr>
          <t>The NSX Tier-1 Gateway router must be configured to have the DHCP service disabled if not in use.</t>
        </r>
      </text>
    </comment>
    <comment ref="U39" authorId="0" shapeId="0" xr:uid="{00000000-0006-0000-0400-000010000000}">
      <text>
        <r>
          <rPr>
            <sz val="11"/>
            <rFont val="Calibri"/>
          </rPr>
          <t>The NSX Tier-1 Gateway router must be configured to advertise a hop limit of at least 32 in Router Advertisement messages for IPv6 stateless auto-configuration deployments.</t>
        </r>
      </text>
    </comment>
    <comment ref="V39" authorId="0" shapeId="0" xr:uid="{00000000-0006-0000-0400-000011000000}">
      <text>
        <r>
          <rPr>
            <sz val="11"/>
            <rFont val="Calibri"/>
          </rPr>
          <t>The NSX Tier-1 Gateway router must be configured to have multicast disabled if not in use.</t>
        </r>
      </text>
    </comment>
    <comment ref="J41" authorId="0" shapeId="0" xr:uid="{00000000-0006-0000-0400-000014000000}">
      <text>
        <r>
          <rPr>
            <sz val="11"/>
            <rFont val="Calibri"/>
          </rPr>
          <t>The NSX Manager must be configured to enforce the limit of three consecutive invalid logon attempts, after which time it must block any login attempt for 15 minutes.</t>
        </r>
      </text>
    </comment>
    <comment ref="J48" authorId="0" shapeId="0" xr:uid="{00000000-0006-0000-0400-000015000000}">
      <text>
        <r>
          <rPr>
            <sz val="11"/>
            <rFont val="Calibri"/>
          </rPr>
          <t>The NSX Manager must be configured with only one local account to be used as the account of last resort in the event the authentication server is unavailable.</t>
        </r>
      </text>
    </comment>
    <comment ref="J50" authorId="0" shapeId="0" xr:uid="{00000000-0006-0000-0400-000016000000}">
      <text>
        <r>
          <rPr>
            <sz val="11"/>
            <rFont val="Calibri"/>
          </rPr>
          <t>The NSX Manager must be configured to integrate with an identity provider that supports multifactor authentication (MFA).</t>
        </r>
      </text>
    </comment>
    <comment ref="J59" authorId="0" shapeId="0" xr:uid="{00000000-0006-0000-0400-000017000000}">
      <text>
        <r>
          <rPr>
            <sz val="11"/>
            <rFont val="Calibri"/>
          </rPr>
          <t>The NSX Manager must assign users/accounts to organization-defined roles configured with approved authorizations.</t>
        </r>
      </text>
    </comment>
    <comment ref="J64" authorId="0" shapeId="0" xr:uid="{00000000-0006-0000-0400-000018000000}">
      <text>
        <r>
          <rPr>
            <sz val="11"/>
            <rFont val="Calibri"/>
          </rPr>
          <t>The NSX Manager must be running a release that is currently supported by the vendor.</t>
        </r>
      </text>
    </comment>
    <comment ref="J70" authorId="0" shapeId="0" xr:uid="{00000000-0006-0000-0400-000019000000}">
      <text>
        <r>
          <rPr>
            <sz val="11"/>
            <rFont val="Calibri"/>
          </rPr>
          <t>The NSX Manager must configure logging levels for services to ensure audit records are generated.</t>
        </r>
      </text>
    </comment>
    <comment ref="K70" authorId="0" shapeId="0" xr:uid="{00000000-0006-0000-0400-00001A000000}">
      <text>
        <r>
          <rPr>
            <sz val="11"/>
            <rFont val="Calibri"/>
          </rPr>
          <t>The NSX Manager must be configured to send logs to a central log server.</t>
        </r>
      </text>
    </comment>
    <comment ref="L70" authorId="0" shapeId="0" xr:uid="{00000000-0006-0000-0400-00001B000000}">
      <text>
        <r>
          <rPr>
            <sz val="11"/>
            <rFont val="Calibri"/>
          </rPr>
          <t>The NSX Tier-0 Gateway Firewall must generate traffic log entries.</t>
        </r>
      </text>
    </comment>
    <comment ref="M70" authorId="0" shapeId="0" xr:uid="{00000000-0006-0000-0400-00001C000000}">
      <text>
        <r>
          <rPr>
            <sz val="11"/>
            <rFont val="Calibri"/>
          </rPr>
          <t>The NSX Tier-1 Gateway firewall must generate traffic log entries.</t>
        </r>
      </text>
    </comment>
    <comment ref="N70" authorId="0" shapeId="0" xr:uid="{00000000-0006-0000-0400-00001D000000}">
      <text>
        <r>
          <rPr>
            <sz val="11"/>
            <rFont val="Calibri"/>
          </rPr>
          <t>The NSX Distributed Firewall must generate traffic log entries that can be sent by the ESXi hosts to the central syslog.</t>
        </r>
      </text>
    </comment>
    <comment ref="J72" authorId="0" shapeId="0" xr:uid="{00000000-0006-0000-0400-00001E000000}">
      <text>
        <r>
          <rPr>
            <sz val="11"/>
            <rFont val="Calibri"/>
          </rPr>
          <t>The NSX Manager must be configured to synchronize internal information system clocks using redundant authoritative time sources.</t>
        </r>
      </text>
    </comment>
    <comment ref="K72" authorId="0" shapeId="0" xr:uid="{00000000-0006-0000-0400-00001F000000}">
      <text>
        <r>
          <rPr>
            <sz val="11"/>
            <rFont val="Calibri"/>
          </rPr>
          <t>The NSX Manager must record time stamps for audit records that can be mapped to Coordinated Universal Time (UTC).</t>
        </r>
      </text>
    </comment>
    <comment ref="J77" authorId="0" shapeId="0" xr:uid="{00000000-0006-0000-0400-000020000000}">
      <text>
        <r>
          <rPr>
            <sz val="11"/>
            <rFont val="Calibri"/>
          </rPr>
          <t>The NSX Manager must configure logging levels for services to ensure audit records are generated.</t>
        </r>
      </text>
    </comment>
    <comment ref="K77" authorId="0" shapeId="0" xr:uid="{00000000-0006-0000-0400-000021000000}">
      <text>
        <r>
          <rPr>
            <sz val="11"/>
            <rFont val="Calibri"/>
          </rPr>
          <t>The NSX Manager must be configured to send logs to a central log server.</t>
        </r>
      </text>
    </comment>
    <comment ref="L77" authorId="0" shapeId="0" xr:uid="{00000000-0006-0000-0400-000022000000}">
      <text>
        <r>
          <rPr>
            <sz val="11"/>
            <rFont val="Calibri"/>
          </rPr>
          <t>The NSX Tier-0 Gateway Firewall must be configured to send traffic log entries to a central log server.</t>
        </r>
      </text>
    </comment>
    <comment ref="M77" authorId="0" shapeId="0" xr:uid="{00000000-0006-0000-0400-000023000000}">
      <text>
        <r>
          <rPr>
            <sz val="11"/>
            <rFont val="Calibri"/>
          </rPr>
          <t>The NSX Tier-1 Gateway firewall must be configured to send traffic log entries to a central audit server.</t>
        </r>
      </text>
    </comment>
    <comment ref="J121" authorId="0" shapeId="0" xr:uid="{00000000-0006-0000-0400-000024000000}">
      <text>
        <r>
          <rPr>
            <sz val="11"/>
            <rFont val="Calibri"/>
          </rPr>
          <t>The NSX Manager must be configured to protect against denial-of-service (DoS) attacks by limit the number of concurrent sessions to an organization-defined number.</t>
        </r>
      </text>
    </comment>
    <comment ref="K121" authorId="0" shapeId="0" xr:uid="{00000000-0006-0000-0400-000025000000}">
      <text>
        <r>
          <rPr>
            <sz val="11"/>
            <rFont val="Calibri"/>
          </rPr>
          <t>The NSX Tier-0 Gateway Firewall must manage excess bandwidth to limit the effects of packet flooding types of denial-of-service (DoS) attacks.</t>
        </r>
      </text>
    </comment>
    <comment ref="L121" authorId="0" shapeId="0" xr:uid="{00000000-0006-0000-0400-000026000000}">
      <text>
        <r>
          <rPr>
            <sz val="11"/>
            <rFont val="Calibri"/>
          </rPr>
          <t>The NSX Tier-1 Gateway firewall must manage excess bandwidth to limit the effects of packet flooding types of denial-of-service (DoS) attacks.</t>
        </r>
      </text>
    </comment>
    <comment ref="M121" authorId="0" shapeId="0" xr:uid="{00000000-0006-0000-0400-000027000000}">
      <text>
        <r>
          <rPr>
            <sz val="11"/>
            <rFont val="Calibri"/>
          </rPr>
          <t>The NSX Tier-1 Gateway firewall must be configured to inspect traffic at the application layer.</t>
        </r>
      </text>
    </comment>
    <comment ref="N121" authorId="0" shapeId="0" xr:uid="{00000000-0006-0000-0400-000028000000}">
      <text>
        <r>
          <rPr>
            <sz val="11"/>
            <rFont val="Calibri"/>
          </rPr>
          <t>The NSX Distributed Firewall must limit the effects of packet flooding types of denial-of-service (DoS) attacks.</t>
        </r>
      </text>
    </comment>
    <comment ref="O121" authorId="0" shapeId="0" xr:uid="{00000000-0006-0000-0400-000029000000}">
      <text>
        <r>
          <rPr>
            <sz val="11"/>
            <rFont val="Calibri"/>
          </rPr>
          <t>The NSX Distributed Firewall must be configured to inspect traffic at the application layer.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NSX Manager must be configured to enforce the limit of three consecutive invalid logon attempts, after which time it must block any login attempt for 15 minutes.</t>
        </r>
      </text>
    </comment>
    <comment ref="H3" authorId="0" shapeId="0" xr:uid="{00000000-0006-0000-0500-000002000000}">
      <text>
        <r>
          <rPr>
            <sz val="11"/>
            <rFont val="Calibri"/>
          </rPr>
          <t>The NSX Manager must be configured to integrate with an identity provider that supports multifactor authentication (MFA).</t>
        </r>
      </text>
    </comment>
    <comment ref="H7" authorId="0" shapeId="0" xr:uid="{00000000-0006-0000-0500-000003000000}">
      <text>
        <r>
          <rPr>
            <sz val="11"/>
            <rFont val="Calibri"/>
          </rPr>
          <t>The NSX Manager must configure logging levels for services to ensure audit records are generated.</t>
        </r>
      </text>
    </comment>
    <comment ref="I7" authorId="0" shapeId="0" xr:uid="{00000000-0006-0000-0500-000009000000}">
      <text>
        <r>
          <rPr>
            <sz val="11"/>
            <rFont val="Calibri"/>
          </rPr>
          <t>The NSX Manager must be configured to send logs to a central log server.</t>
        </r>
      </text>
    </comment>
    <comment ref="J7" authorId="0" shapeId="0" xr:uid="{00000000-0006-0000-0500-000004000000}">
      <text>
        <r>
          <rPr>
            <sz val="11"/>
            <rFont val="Calibri"/>
          </rPr>
          <t>The NSX Tier-0 Gateway Firewall must generate traffic log entries.</t>
        </r>
      </text>
    </comment>
    <comment ref="K7" authorId="0" shapeId="0" xr:uid="{00000000-0006-0000-0500-000005000000}">
      <text>
        <r>
          <rPr>
            <sz val="11"/>
            <rFont val="Calibri"/>
          </rPr>
          <t>The NSX Tier-0 Gateway Firewall must be configured to send traffic log entries to a central log server.</t>
        </r>
      </text>
    </comment>
    <comment ref="L7" authorId="0" shapeId="0" xr:uid="{00000000-0006-0000-0500-000006000000}">
      <text>
        <r>
          <rPr>
            <sz val="11"/>
            <rFont val="Calibri"/>
          </rPr>
          <t>The NSX Tier-1 Gateway firewall must generate traffic log entries.</t>
        </r>
      </text>
    </comment>
    <comment ref="M7" authorId="0" shapeId="0" xr:uid="{00000000-0006-0000-0500-000007000000}">
      <text>
        <r>
          <rPr>
            <sz val="11"/>
            <rFont val="Calibri"/>
          </rPr>
          <t>The NSX Tier-1 Gateway firewall must be configured to send traffic log entries to a central audit server.</t>
        </r>
      </text>
    </comment>
    <comment ref="N7" authorId="0" shapeId="0" xr:uid="{00000000-0006-0000-0500-000008000000}">
      <text>
        <r>
          <rPr>
            <sz val="11"/>
            <rFont val="Calibri"/>
          </rPr>
          <t>The NSX Distributed Firewall must generate traffic log entries that can be sent by the ESXi hosts to the central syslog.</t>
        </r>
      </text>
    </comment>
    <comment ref="H13" authorId="0" shapeId="0" xr:uid="{00000000-0006-0000-0500-00000A000000}">
      <text>
        <r>
          <rPr>
            <sz val="11"/>
            <rFont val="Calibri"/>
          </rPr>
          <t>The NSX Manager must not provide environment information to third parties.</t>
        </r>
      </text>
    </comment>
    <comment ref="H14" authorId="0" shapeId="0" xr:uid="{00000000-0006-0000-0500-00000B000000}">
      <text>
        <r>
          <rPr>
            <sz val="11"/>
            <rFont val="Calibri"/>
          </rPr>
          <t>The NSX Manager must disable SSH.</t>
        </r>
      </text>
    </comment>
    <comment ref="I14" authorId="0" shapeId="0" xr:uid="{00000000-0006-0000-0500-000012000000}">
      <text>
        <r>
          <rPr>
            <sz val="11"/>
            <rFont val="Calibri"/>
          </rPr>
          <t>The NSX Manager must disable SNMP v2.</t>
        </r>
      </text>
    </comment>
    <comment ref="J14" authorId="0" shapeId="0" xr:uid="{00000000-0006-0000-0500-000013000000}">
      <text>
        <r>
          <rPr>
            <sz val="11"/>
            <rFont val="Calibri"/>
          </rPr>
          <t>The NSX Tier-0 Gateway router must be configured to disable Protocol Independent Multicast (PIM) on all interfaces that are not required to support multicast routing.</t>
        </r>
      </text>
    </comment>
    <comment ref="K14" authorId="0" shapeId="0" xr:uid="{00000000-0006-0000-0500-000014000000}">
      <text>
        <r>
          <rPr>
            <sz val="11"/>
            <rFont val="Calibri"/>
          </rPr>
          <t>The NSX Tier-0 Gateway router must be configured to have all inactive interfaces removed.</t>
        </r>
      </text>
    </comment>
    <comment ref="L14" authorId="0" shapeId="0" xr:uid="{00000000-0006-0000-0500-000015000000}">
      <text>
        <r>
          <rPr>
            <sz val="11"/>
            <rFont val="Calibri"/>
          </rPr>
          <t>The NSX Tier-0 Gateway router must be configured to have the Dynamic Host Configuration Protocol (DHCP) service disabled if not in use.</t>
        </r>
      </text>
    </comment>
    <comment ref="M14" authorId="0" shapeId="0" xr:uid="{00000000-0006-0000-0500-000016000000}">
      <text>
        <r>
          <rPr>
            <sz val="11"/>
            <rFont val="Calibri"/>
          </rPr>
          <t>The NSX Tier-0 Gateway router must be configured to use its loopback address as the source address for Internal Border Gateway Protocol (IBGP) peering sessions.</t>
        </r>
      </text>
    </comment>
    <comment ref="N14" authorId="0" shapeId="0" xr:uid="{00000000-0006-0000-0500-000017000000}">
      <text>
        <r>
          <rPr>
            <sz val="11"/>
            <rFont val="Calibri"/>
          </rPr>
          <t>The NSX Tier-0 Gateway router must be configured to advertise a hop limit of at least 32 in Router Advertisement messages for IPv6 stateless auto-configuration deployments.</t>
        </r>
      </text>
    </comment>
    <comment ref="O14" authorId="0" shapeId="0" xr:uid="{00000000-0006-0000-0500-00000C000000}">
      <text>
        <r>
          <rPr>
            <sz val="11"/>
            <rFont val="Calibri"/>
          </rPr>
          <t>The NSX Tier-0 Gateway router must be configured to have routing protocols disabled if not in use.</t>
        </r>
      </text>
    </comment>
    <comment ref="P14" authorId="0" shapeId="0" xr:uid="{00000000-0006-0000-0500-00000D000000}">
      <text>
        <r>
          <rPr>
            <sz val="11"/>
            <rFont val="Calibri"/>
          </rPr>
          <t>The NSX Tier-0 Gateway router must be configured to have multicast disabled if not in use.</t>
        </r>
      </text>
    </comment>
    <comment ref="Q14" authorId="0" shapeId="0" xr:uid="{00000000-0006-0000-0500-00000E000000}">
      <text>
        <r>
          <rPr>
            <sz val="11"/>
            <rFont val="Calibri"/>
          </rPr>
          <t>The NSX Tier-1 Gateway router must be configured to have all inactive interfaces removed.</t>
        </r>
      </text>
    </comment>
    <comment ref="R14" authorId="0" shapeId="0" xr:uid="{00000000-0006-0000-0500-00000F000000}">
      <text>
        <r>
          <rPr>
            <sz val="11"/>
            <rFont val="Calibri"/>
          </rPr>
          <t>The NSX Tier-1 Gateway router must be configured to have the DHCP service disabled if not in use.</t>
        </r>
      </text>
    </comment>
    <comment ref="S14" authorId="0" shapeId="0" xr:uid="{00000000-0006-0000-0500-000010000000}">
      <text>
        <r>
          <rPr>
            <sz val="11"/>
            <rFont val="Calibri"/>
          </rPr>
          <t>The NSX Tier-1 Gateway router must be configured to advertise a hop limit of at least 32 in Router Advertisement messages for IPv6 stateless auto-configuration deployments.</t>
        </r>
      </text>
    </comment>
    <comment ref="T14" authorId="0" shapeId="0" xr:uid="{00000000-0006-0000-0500-000011000000}">
      <text>
        <r>
          <rPr>
            <sz val="11"/>
            <rFont val="Calibri"/>
          </rPr>
          <t>The NSX Tier-1 Gateway router must be configured to have multicast disabled if not in use.</t>
        </r>
      </text>
    </comment>
    <comment ref="H16" authorId="0" shapeId="0" xr:uid="{00000000-0006-0000-0500-000018000000}">
      <text>
        <r>
          <rPr>
            <sz val="11"/>
            <rFont val="Calibri"/>
          </rPr>
          <t>The NSX Manager must only enable TLS 1.2 or greater.</t>
        </r>
      </text>
    </comment>
    <comment ref="I16" authorId="0" shapeId="0" xr:uid="{00000000-0006-0000-0500-000019000000}">
      <text>
        <r>
          <rPr>
            <sz val="11"/>
            <rFont val="Calibri"/>
          </rPr>
          <t>The NSX Manager must obtain its public key certificates from an appropriate certificate policy through an approved service provider.</t>
        </r>
      </text>
    </comment>
    <comment ref="J16" authorId="0" shapeId="0" xr:uid="{00000000-0006-0000-0500-00001A000000}">
      <text>
        <r>
          <rPr>
            <sz val="11"/>
            <rFont val="Calibri"/>
          </rPr>
          <t>The NSX Manager must enable the global FIPS compliance mode for load balancers.</t>
        </r>
      </text>
    </comment>
    <comment ref="K16" authorId="0" shapeId="0" xr:uid="{00000000-0006-0000-0500-00001B000000}">
      <text>
        <r>
          <rPr>
            <sz val="11"/>
            <rFont val="Calibri"/>
          </rPr>
          <t>The NSX Tier-0 Gateway router must be configured to use encryption for Open Shortest Path First (OSPF) routing protocol authentication.</t>
        </r>
      </text>
    </comment>
    <comment ref="L16" authorId="0" shapeId="0" xr:uid="{00000000-0006-0000-0500-00001C000000}">
      <text>
        <r>
          <rPr>
            <sz val="11"/>
            <rFont val="Calibri"/>
          </rPr>
          <t>The NSX Tier-0 Gateway router must be configured to implement message authentication for all control plane protocols.</t>
        </r>
      </text>
    </comment>
    <comment ref="M16" authorId="0" shapeId="0" xr:uid="{00000000-0006-0000-0500-00001D000000}">
      <text>
        <r>
          <rPr>
            <sz val="11"/>
            <rFont val="Calibri"/>
          </rPr>
          <t>The NSX Tier-0 Gateway router must be configured to use the Border Gateway Protocol (BGP) maximum prefixes feature to protect against route table flooding and prefix de-aggregation attacks.</t>
        </r>
      </text>
    </comment>
    <comment ref="N16" authorId="0" shapeId="0" xr:uid="{00000000-0006-0000-0500-00001E000000}">
      <text>
        <r>
          <rPr>
            <sz val="11"/>
            <rFont val="Calibri"/>
          </rPr>
          <t>The NSX Tier-0 Gateway router must be configured to use encryption for border gateway protocol (BGP) routing protocol authentication.</t>
        </r>
      </text>
    </comment>
    <comment ref="H20" authorId="0" shapeId="0" xr:uid="{00000000-0006-0000-0500-00001F000000}">
      <text>
        <r>
          <rPr>
            <sz val="11"/>
            <rFont val="Calibri"/>
          </rPr>
          <t>The NSX Tier-0 Gateway Firewall must deny network communications traffic by default and allow network communications traffic by exception.</t>
        </r>
      </text>
    </comment>
    <comment ref="I20" authorId="0" shapeId="0" xr:uid="{00000000-0006-0000-0500-000020000000}">
      <text>
        <r>
          <rPr>
            <sz val="11"/>
            <rFont val="Calibri"/>
          </rPr>
          <t>The NSX Tier-0 Gateway router must be configured to restrict it from accepting outbound IP packets that contain an illegitimate address in the source address field by enabling Unicast Reverse Path Forwarding (uRPF).</t>
        </r>
      </text>
    </comment>
    <comment ref="J20" authorId="0" shapeId="0" xr:uid="{00000000-0006-0000-0500-000021000000}">
      <text>
        <r>
          <rPr>
            <sz val="11"/>
            <rFont val="Calibri"/>
          </rPr>
          <t>The NSX Tier-1 Gateway firewall must deny network communications traffic by default and allow network communications traffic by exception.</t>
        </r>
      </text>
    </comment>
    <comment ref="K20" authorId="0" shapeId="0" xr:uid="{00000000-0006-0000-0500-000022000000}">
      <text>
        <r>
          <rPr>
            <sz val="11"/>
            <rFont val="Calibri"/>
          </rPr>
          <t>The NSX Distributed Firewall must deny network communications traffic by default and allow network communications traffic by exception.</t>
        </r>
      </text>
    </comment>
    <comment ref="L20" authorId="0" shapeId="0" xr:uid="{00000000-0006-0000-0500-000023000000}">
      <text>
        <r>
          <rPr>
            <sz val="11"/>
            <rFont val="Calibri"/>
          </rPr>
          <t>The NSX Distributed Firewall must configure SpoofGuard to restrict it from accepting outbound packets that contain an illegitimate address in the source address.</t>
        </r>
      </text>
    </comment>
    <comment ref="M20" authorId="0" shapeId="0" xr:uid="{00000000-0006-0000-0500-000024000000}">
      <text>
        <r>
          <rPr>
            <sz val="11"/>
            <rFont val="Calibri"/>
          </rPr>
          <t>The NSX Distributed Firewall must configure an IP Discovery profile to disable trust on every use method.</t>
        </r>
      </text>
    </comment>
    <comment ref="H25" authorId="0" shapeId="0" xr:uid="{00000000-0006-0000-0500-000025000000}">
      <text>
        <r>
          <rPr>
            <sz val="11"/>
            <rFont val="Calibri"/>
          </rPr>
          <t>The NSX Tier-1 Gateway firewall must be configured to inspect traffic at the application layer.</t>
        </r>
      </text>
    </comment>
    <comment ref="I25" authorId="0" shapeId="0" xr:uid="{00000000-0006-0000-0500-000026000000}">
      <text>
        <r>
          <rPr>
            <sz val="11"/>
            <rFont val="Calibri"/>
          </rPr>
          <t>The NSX Distributed Firewall must be configured to inspect traffic at the application layer.</t>
        </r>
      </text>
    </comment>
    <comment ref="H27" authorId="0" shapeId="0" xr:uid="{00000000-0006-0000-0500-000027000000}">
      <text>
        <r>
          <rPr>
            <sz val="11"/>
            <rFont val="Calibri"/>
          </rPr>
          <t>The NSX Tier-0 Gateway router must be configured to have Internet Control Message Protocol (ICMP) unreachable notifications disabled on all external interfaces.</t>
        </r>
      </text>
    </comment>
    <comment ref="I27" authorId="0" shapeId="0" xr:uid="{00000000-0006-0000-0500-000028000000}">
      <text>
        <r>
          <rPr>
            <sz val="11"/>
            <rFont val="Calibri"/>
          </rPr>
          <t>The NSX Tier-0 Gateway router must be configured to have Internet Control Message Protocol (ICMP) mask replies disabled on all external interfaces.</t>
        </r>
      </text>
    </comment>
    <comment ref="J27" authorId="0" shapeId="0" xr:uid="{00000000-0006-0000-0500-000029000000}">
      <text>
        <r>
          <rPr>
            <sz val="11"/>
            <rFont val="Calibri"/>
          </rPr>
          <t>The NSX Tier-0 Gateway router must be configured to have Internet Control Message Protocol (ICMP) redirects disabled on all external interfaces.</t>
        </r>
      </text>
    </comment>
    <comment ref="H29" authorId="0" shapeId="0" xr:uid="{00000000-0006-0000-0500-00002A000000}">
      <text>
        <r>
          <rPr>
            <sz val="11"/>
            <rFont val="Calibri"/>
          </rPr>
          <t>The NSX Manager must enforce a minimum 15-character password length for local accounts.</t>
        </r>
      </text>
    </comment>
    <comment ref="I29" authorId="0" shapeId="0" xr:uid="{00000000-0006-0000-0500-00002B000000}">
      <text>
        <r>
          <rPr>
            <sz val="11"/>
            <rFont val="Calibri"/>
          </rPr>
          <t>The NSX Manager must enforce password complexity by requiring that at least one uppercase character be used for local accounts.</t>
        </r>
      </text>
    </comment>
    <comment ref="J29" authorId="0" shapeId="0" xr:uid="{00000000-0006-0000-0500-00002C000000}">
      <text>
        <r>
          <rPr>
            <sz val="11"/>
            <rFont val="Calibri"/>
          </rPr>
          <t>The NSX Manager must enforce password complexity by requiring that at least one lowercase character be used for local accounts.</t>
        </r>
      </text>
    </comment>
    <comment ref="K29" authorId="0" shapeId="0" xr:uid="{00000000-0006-0000-0500-00002D000000}">
      <text>
        <r>
          <rPr>
            <sz val="11"/>
            <rFont val="Calibri"/>
          </rPr>
          <t>The NSX Manager must enforce password complexity by requiring that at least one numeric character be used for local accounts.</t>
        </r>
      </text>
    </comment>
    <comment ref="L29" authorId="0" shapeId="0" xr:uid="{00000000-0006-0000-0500-00002E000000}">
      <text>
        <r>
          <rPr>
            <sz val="11"/>
            <rFont val="Calibri"/>
          </rPr>
          <t>The NSX Manager must enforce password complexity by requiring that at least one special character be used for local accounts.</t>
        </r>
      </text>
    </comment>
    <comment ref="M29" authorId="0" shapeId="0" xr:uid="{00000000-0006-0000-0500-00002F000000}">
      <text>
        <r>
          <rPr>
            <sz val="11"/>
            <rFont val="Calibri"/>
          </rPr>
          <t>The NSX Manager must require that when a password is changed, the characters are changed in at least eight of the positions within the password.</t>
        </r>
      </text>
    </comment>
    <comment ref="N29" authorId="0" shapeId="0" xr:uid="{00000000-0006-0000-0500-000030000000}">
      <text>
        <r>
          <rPr>
            <sz val="11"/>
            <rFont val="Calibri"/>
          </rPr>
          <t>The NSX Tier-0 Gateway must be configured to use a unique password for each autonomous system (AS) with which it peers.</t>
        </r>
      </text>
    </comment>
    <comment ref="H31" authorId="0" shapeId="0" xr:uid="{00000000-0006-0000-0500-000031000000}">
      <text>
        <r>
          <rPr>
            <sz val="11"/>
            <rFont val="Calibri"/>
          </rPr>
          <t>The NSX Manager must assign users/accounts to organization-defined roles configured with approved authorizations.</t>
        </r>
      </text>
    </comment>
    <comment ref="I31" authorId="0" shapeId="0" xr:uid="{00000000-0006-0000-0500-000032000000}">
      <text>
        <r>
          <rPr>
            <sz val="11"/>
            <rFont val="Calibri"/>
          </rPr>
          <t>The NSX Manager must be configured with only one local account to be used as the account of last resort in the event the authentication server is unavailable.</t>
        </r>
      </text>
    </comment>
    <comment ref="H41" authorId="0" shapeId="0" xr:uid="{00000000-0006-0000-0500-000033000000}">
      <text>
        <r>
          <rPr>
            <sz val="11"/>
            <rFont val="Calibri"/>
          </rPr>
          <t>The NSX Manager must be running a release that is currently supported by the vendor.</t>
        </r>
      </text>
    </comment>
    <comment ref="H43" authorId="0" shapeId="0" xr:uid="{00000000-0006-0000-0500-000034000000}">
      <text>
        <r>
          <rPr>
            <sz val="11"/>
            <rFont val="Calibri"/>
          </rPr>
          <t>The NSX Manager must assign users/accounts to organization-defined roles configured with approved authorizations.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NSX Manager must assign users/accounts to organization-defined roles configured with approved authorizations.</t>
        </r>
      </text>
    </comment>
    <comment ref="J7" authorId="0" shapeId="0" xr:uid="{00000000-0006-0000-0600-000002000000}">
      <text>
        <r>
          <rPr>
            <sz val="11"/>
            <rFont val="Calibri"/>
          </rPr>
          <t>The NSX Manager must assign users/accounts to organization-defined roles configured with approved authorizations.</t>
        </r>
      </text>
    </comment>
    <comment ref="J8" authorId="0" shapeId="0" xr:uid="{00000000-0006-0000-0600-000003000000}">
      <text>
        <r>
          <rPr>
            <sz val="11"/>
            <rFont val="Calibri"/>
          </rPr>
          <t>The NSX Manager must be configured with only one local account to be used as the account of last resort in the event the authentication server is unavailable.</t>
        </r>
      </text>
    </comment>
    <comment ref="J10" authorId="0" shapeId="0" xr:uid="{00000000-0006-0000-0600-000004000000}">
      <text>
        <r>
          <rPr>
            <sz val="11"/>
            <rFont val="Calibri"/>
          </rPr>
          <t>The NSX Manager must be configured to enforce the limit of three consecutive invalid logon attempts, after which time it must block any login attempt for 15 minutes.</t>
        </r>
      </text>
    </comment>
    <comment ref="J11" authorId="0" shapeId="0" xr:uid="{00000000-0006-0000-0600-000005000000}">
      <text>
        <r>
          <rPr>
            <sz val="11"/>
            <rFont val="Calibri"/>
          </rPr>
          <t>The NSX Manager must display the Standard Mandatory DOD Notice and Consent Banner before granting access.</t>
        </r>
      </text>
    </comment>
    <comment ref="K11" authorId="0" shapeId="0" xr:uid="{00000000-0006-0000-0600-000006000000}">
      <text>
        <r>
          <rPr>
            <sz val="11"/>
            <rFont val="Calibri"/>
          </rPr>
          <t>The NSX Manager must retain the Standard Mandatory DOD Notice and Consent Banner on the screen until the administrator acknowledges the usage conditions and takes explicit actions to log on for further access.</t>
        </r>
      </text>
    </comment>
    <comment ref="J12" authorId="0" shapeId="0" xr:uid="{00000000-0006-0000-0600-000007000000}">
      <text>
        <r>
          <rPr>
            <sz val="11"/>
            <rFont val="Calibri"/>
          </rPr>
          <t>The NSX Manager must terminate all network connections associated with a session after five minutes of inactivity.</t>
        </r>
      </text>
    </comment>
    <comment ref="J13" authorId="0" shapeId="0" xr:uid="{00000000-0006-0000-0600-000008000000}">
      <text>
        <r>
          <rPr>
            <sz val="11"/>
            <rFont val="Calibri"/>
          </rPr>
          <t>The NSX Manager must terminate all network connections associated with a session after five minutes of inactivity.</t>
        </r>
      </text>
    </comment>
    <comment ref="J23" authorId="0" shapeId="0" xr:uid="{00000000-0006-0000-0600-000009000000}">
      <text>
        <r>
          <rPr>
            <sz val="11"/>
            <rFont val="Calibri"/>
          </rPr>
          <t>The NSX Manager must configure logging levels for services to ensure audit records are generated.</t>
        </r>
      </text>
    </comment>
    <comment ref="K23" authorId="0" shapeId="0" xr:uid="{00000000-0006-0000-0600-00000F000000}">
      <text>
        <r>
          <rPr>
            <sz val="11"/>
            <rFont val="Calibri"/>
          </rPr>
          <t>The NSX Manager must be configured to send logs to a central log server.</t>
        </r>
      </text>
    </comment>
    <comment ref="L23" authorId="0" shapeId="0" xr:uid="{00000000-0006-0000-0600-00000A000000}">
      <text>
        <r>
          <rPr>
            <sz val="11"/>
            <rFont val="Calibri"/>
          </rPr>
          <t>The NSX Tier-0 Gateway Firewall must generate traffic log entries.</t>
        </r>
      </text>
    </comment>
    <comment ref="M23" authorId="0" shapeId="0" xr:uid="{00000000-0006-0000-0600-00000B000000}">
      <text>
        <r>
          <rPr>
            <sz val="11"/>
            <rFont val="Calibri"/>
          </rPr>
          <t>The NSX Tier-0 Gateway Firewall must be configured to send traffic log entries to a central log server.</t>
        </r>
      </text>
    </comment>
    <comment ref="N23" authorId="0" shapeId="0" xr:uid="{00000000-0006-0000-0600-00000C000000}">
      <text>
        <r>
          <rPr>
            <sz val="11"/>
            <rFont val="Calibri"/>
          </rPr>
          <t>The NSX Tier-1 Gateway firewall must generate traffic log entries.</t>
        </r>
      </text>
    </comment>
    <comment ref="O23" authorId="0" shapeId="0" xr:uid="{00000000-0006-0000-0600-00000D000000}">
      <text>
        <r>
          <rPr>
            <sz val="11"/>
            <rFont val="Calibri"/>
          </rPr>
          <t>The NSX Tier-1 Gateway firewall must be configured to send traffic log entries to a central audit server.</t>
        </r>
      </text>
    </comment>
    <comment ref="P23" authorId="0" shapeId="0" xr:uid="{00000000-0006-0000-0600-00000E000000}">
      <text>
        <r>
          <rPr>
            <sz val="11"/>
            <rFont val="Calibri"/>
          </rPr>
          <t>The NSX Distributed Firewall must generate traffic log entries that can be sent by the ESXi hosts to the central syslog.</t>
        </r>
      </text>
    </comment>
    <comment ref="J24" authorId="0" shapeId="0" xr:uid="{00000000-0006-0000-0600-000010000000}">
      <text>
        <r>
          <rPr>
            <sz val="11"/>
            <rFont val="Calibri"/>
          </rPr>
          <t>The NSX Tier-0 Gateway Firewall must generate traffic log entries.</t>
        </r>
      </text>
    </comment>
    <comment ref="K24" authorId="0" shapeId="0" xr:uid="{00000000-0006-0000-0600-000011000000}">
      <text>
        <r>
          <rPr>
            <sz val="11"/>
            <rFont val="Calibri"/>
          </rPr>
          <t>The NSX Tier-1 Gateway firewall must generate traffic log entries.</t>
        </r>
      </text>
    </comment>
    <comment ref="L24" authorId="0" shapeId="0" xr:uid="{00000000-0006-0000-0600-000012000000}">
      <text>
        <r>
          <rPr>
            <sz val="11"/>
            <rFont val="Calibri"/>
          </rPr>
          <t>The NSX Distributed Firewall must generate traffic log entries that can be sent by the ESXi hosts to the central syslog.</t>
        </r>
      </text>
    </comment>
    <comment ref="J25" authorId="0" shapeId="0" xr:uid="{00000000-0006-0000-0600-000013000000}">
      <text>
        <r>
          <rPr>
            <sz val="11"/>
            <rFont val="Calibri"/>
          </rPr>
          <t>The NSX Manager must configure logging levels for services to ensure audit records are generated.</t>
        </r>
      </text>
    </comment>
    <comment ref="K25" authorId="0" shapeId="0" xr:uid="{00000000-0006-0000-0600-000014000000}">
      <text>
        <r>
          <rPr>
            <sz val="11"/>
            <rFont val="Calibri"/>
          </rPr>
          <t>The NSX Manager must be configured to send logs to a central log server.</t>
        </r>
      </text>
    </comment>
    <comment ref="L25" authorId="0" shapeId="0" xr:uid="{00000000-0006-0000-0600-000015000000}">
      <text>
        <r>
          <rPr>
            <sz val="11"/>
            <rFont val="Calibri"/>
          </rPr>
          <t>The NSX Tier-0 Gateway Firewall must be configured to send traffic log entries to a central log server.</t>
        </r>
      </text>
    </comment>
    <comment ref="M25" authorId="0" shapeId="0" xr:uid="{00000000-0006-0000-0600-000016000000}">
      <text>
        <r>
          <rPr>
            <sz val="11"/>
            <rFont val="Calibri"/>
          </rPr>
          <t>The NSX Tier-1 Gateway firewall must be configured to send traffic log entries to a central audit server.</t>
        </r>
      </text>
    </comment>
    <comment ref="J29" authorId="0" shapeId="0" xr:uid="{00000000-0006-0000-0600-000017000000}">
      <text>
        <r>
          <rPr>
            <sz val="11"/>
            <rFont val="Calibri"/>
          </rPr>
          <t>The NSX Manager must be configured to synchronize internal information system clocks using redundant authoritative time sources.</t>
        </r>
      </text>
    </comment>
    <comment ref="K29" authorId="0" shapeId="0" xr:uid="{00000000-0006-0000-0600-000018000000}">
      <text>
        <r>
          <rPr>
            <sz val="11"/>
            <rFont val="Calibri"/>
          </rPr>
          <t>The NSX Manager must record time stamps for audit records that can be mapped to Coordinated Universal Time (UTC).</t>
        </r>
      </text>
    </comment>
    <comment ref="J33" authorId="0" shapeId="0" xr:uid="{00000000-0006-0000-0600-000019000000}">
      <text>
        <r>
          <rPr>
            <sz val="11"/>
            <rFont val="Calibri"/>
          </rPr>
          <t>The NSX Tier-0 Gateway router must be configured to have Internet Control Message Protocol (ICMP) unreachable notifications disabled on all external interfaces.</t>
        </r>
      </text>
    </comment>
    <comment ref="K33" authorId="0" shapeId="0" xr:uid="{00000000-0006-0000-0600-00001A000000}">
      <text>
        <r>
          <rPr>
            <sz val="11"/>
            <rFont val="Calibri"/>
          </rPr>
          <t>The NSX Tier-0 Gateway router must be configured to have Internet Control Message Protocol (ICMP) mask replies disabled on all external interfaces.</t>
        </r>
      </text>
    </comment>
    <comment ref="L33" authorId="0" shapeId="0" xr:uid="{00000000-0006-0000-0600-00001B000000}">
      <text>
        <r>
          <rPr>
            <sz val="11"/>
            <rFont val="Calibri"/>
          </rPr>
          <t>The NSX Tier-0 Gateway router must be configured to have Internet Control Message Protocol (ICMP) redirects disabled on all external interfaces.</t>
        </r>
      </text>
    </comment>
    <comment ref="J37" authorId="0" shapeId="0" xr:uid="{00000000-0006-0000-0600-00001C000000}">
      <text>
        <r>
          <rPr>
            <sz val="11"/>
            <rFont val="Calibri"/>
          </rPr>
          <t>The NSX Manager must not provide environment information to third parties.</t>
        </r>
      </text>
    </comment>
    <comment ref="K37" authorId="0" shapeId="0" xr:uid="{00000000-0006-0000-0600-000024000000}">
      <text>
        <r>
          <rPr>
            <sz val="11"/>
            <rFont val="Calibri"/>
          </rPr>
          <t>The NSX Manager must disable SSH.</t>
        </r>
      </text>
    </comment>
    <comment ref="L37" authorId="0" shapeId="0" xr:uid="{00000000-0006-0000-0600-000025000000}">
      <text>
        <r>
          <rPr>
            <sz val="11"/>
            <rFont val="Calibri"/>
          </rPr>
          <t>The NSX Manager must disable SNMP v2.</t>
        </r>
      </text>
    </comment>
    <comment ref="M37" authorId="0" shapeId="0" xr:uid="{00000000-0006-0000-0600-000026000000}">
      <text>
        <r>
          <rPr>
            <sz val="11"/>
            <rFont val="Calibri"/>
          </rPr>
          <t>The NSX Tier-0 Gateway router must be configured to disable Protocol Independent Multicast (PIM) on all interfaces that are not required to support multicast routing.</t>
        </r>
      </text>
    </comment>
    <comment ref="N37" authorId="0" shapeId="0" xr:uid="{00000000-0006-0000-0600-000027000000}">
      <text>
        <r>
          <rPr>
            <sz val="11"/>
            <rFont val="Calibri"/>
          </rPr>
          <t>The NSX Tier-0 Gateway router must be configured to have all inactive interfaces removed.</t>
        </r>
      </text>
    </comment>
    <comment ref="O37" authorId="0" shapeId="0" xr:uid="{00000000-0006-0000-0600-000028000000}">
      <text>
        <r>
          <rPr>
            <sz val="11"/>
            <rFont val="Calibri"/>
          </rPr>
          <t>The NSX Tier-0 Gateway router must be configured to have the Dynamic Host Configuration Protocol (DHCP) service disabled if not in use.</t>
        </r>
      </text>
    </comment>
    <comment ref="P37" authorId="0" shapeId="0" xr:uid="{00000000-0006-0000-0600-000029000000}">
      <text>
        <r>
          <rPr>
            <sz val="11"/>
            <rFont val="Calibri"/>
          </rPr>
          <t>The NSX Tier-0 Gateway router must be configured to use its loopback address as the source address for Internal Border Gateway Protocol (IBGP) peering sessions.</t>
        </r>
      </text>
    </comment>
    <comment ref="Q37" authorId="0" shapeId="0" xr:uid="{00000000-0006-0000-0600-00001D000000}">
      <text>
        <r>
          <rPr>
            <sz val="11"/>
            <rFont val="Calibri"/>
          </rPr>
          <t>The NSX Tier-0 Gateway router must be configured to advertise a hop limit of at least 32 in Router Advertisement messages for IPv6 stateless auto-configuration deployments.</t>
        </r>
      </text>
    </comment>
    <comment ref="R37" authorId="0" shapeId="0" xr:uid="{00000000-0006-0000-0600-00001E000000}">
      <text>
        <r>
          <rPr>
            <sz val="11"/>
            <rFont val="Calibri"/>
          </rPr>
          <t>The NSX Tier-0 Gateway router must be configured to have routing protocols disabled if not in use.</t>
        </r>
      </text>
    </comment>
    <comment ref="S37" authorId="0" shapeId="0" xr:uid="{00000000-0006-0000-0600-00001F000000}">
      <text>
        <r>
          <rPr>
            <sz val="11"/>
            <rFont val="Calibri"/>
          </rPr>
          <t>The NSX Tier-0 Gateway router must be configured to have multicast disabled if not in use.</t>
        </r>
      </text>
    </comment>
    <comment ref="T37" authorId="0" shapeId="0" xr:uid="{00000000-0006-0000-0600-000020000000}">
      <text>
        <r>
          <rPr>
            <sz val="11"/>
            <rFont val="Calibri"/>
          </rPr>
          <t>The NSX Tier-1 Gateway router must be configured to have all inactive interfaces removed.</t>
        </r>
      </text>
    </comment>
    <comment ref="U37" authorId="0" shapeId="0" xr:uid="{00000000-0006-0000-0600-000021000000}">
      <text>
        <r>
          <rPr>
            <sz val="11"/>
            <rFont val="Calibri"/>
          </rPr>
          <t>The NSX Tier-1 Gateway router must be configured to have the DHCP service disabled if not in use.</t>
        </r>
      </text>
    </comment>
    <comment ref="V37" authorId="0" shapeId="0" xr:uid="{00000000-0006-0000-0600-000022000000}">
      <text>
        <r>
          <rPr>
            <sz val="11"/>
            <rFont val="Calibri"/>
          </rPr>
          <t>The NSX Tier-1 Gateway router must be configured to advertise a hop limit of at least 32 in Router Advertisement messages for IPv6 stateless auto-configuration deployments.</t>
        </r>
      </text>
    </comment>
    <comment ref="W37" authorId="0" shapeId="0" xr:uid="{00000000-0006-0000-0600-000023000000}">
      <text>
        <r>
          <rPr>
            <sz val="11"/>
            <rFont val="Calibri"/>
          </rPr>
          <t>The NSX Tier-1 Gateway router must be configured to have multicast disabled if not in use.</t>
        </r>
      </text>
    </comment>
    <comment ref="J43" authorId="0" shapeId="0" xr:uid="{00000000-0006-0000-0600-00002A000000}">
      <text>
        <r>
          <rPr>
            <sz val="11"/>
            <rFont val="Calibri"/>
          </rPr>
          <t>The NSX Manager must be configured to integrate with an identity provider that supports multifactor authentication (MFA).</t>
        </r>
      </text>
    </comment>
    <comment ref="J48" authorId="0" shapeId="0" xr:uid="{00000000-0006-0000-0600-00002B000000}">
      <text>
        <r>
          <rPr>
            <sz val="11"/>
            <rFont val="Calibri"/>
          </rPr>
          <t>The NSX Manager must enforce a minimum 15-character password length for local accounts.</t>
        </r>
      </text>
    </comment>
    <comment ref="K48" authorId="0" shapeId="0" xr:uid="{00000000-0006-0000-0600-00002C000000}">
      <text>
        <r>
          <rPr>
            <sz val="11"/>
            <rFont val="Calibri"/>
          </rPr>
          <t>The NSX Manager must enforce password complexity by requiring that at least one uppercase character be used for local accounts.</t>
        </r>
      </text>
    </comment>
    <comment ref="L48" authorId="0" shapeId="0" xr:uid="{00000000-0006-0000-0600-00002D000000}">
      <text>
        <r>
          <rPr>
            <sz val="11"/>
            <rFont val="Calibri"/>
          </rPr>
          <t>The NSX Manager must enforce password complexity by requiring that at least one lowercase character be used for local accounts.</t>
        </r>
      </text>
    </comment>
    <comment ref="M48" authorId="0" shapeId="0" xr:uid="{00000000-0006-0000-0600-00002E000000}">
      <text>
        <r>
          <rPr>
            <sz val="11"/>
            <rFont val="Calibri"/>
          </rPr>
          <t>The NSX Manager must enforce password complexity by requiring that at least one numeric character be used for local accounts.</t>
        </r>
      </text>
    </comment>
    <comment ref="N48" authorId="0" shapeId="0" xr:uid="{00000000-0006-0000-0600-00002F000000}">
      <text>
        <r>
          <rPr>
            <sz val="11"/>
            <rFont val="Calibri"/>
          </rPr>
          <t>The NSX Manager must enforce password complexity by requiring that at least one special character be used for local accounts.</t>
        </r>
      </text>
    </comment>
    <comment ref="O48" authorId="0" shapeId="0" xr:uid="{00000000-0006-0000-0600-000030000000}">
      <text>
        <r>
          <rPr>
            <sz val="11"/>
            <rFont val="Calibri"/>
          </rPr>
          <t>The NSX Manager must require that when a password is changed, the characters are changed in at least eight of the positions within the password.</t>
        </r>
      </text>
    </comment>
    <comment ref="P48" authorId="0" shapeId="0" xr:uid="{00000000-0006-0000-0600-000031000000}">
      <text>
        <r>
          <rPr>
            <sz val="11"/>
            <rFont val="Calibri"/>
          </rPr>
          <t>The NSX Tier-0 Gateway must be configured to use a unique password for each autonomous system (AS) with which it peers.</t>
        </r>
      </text>
    </comment>
    <comment ref="J68" authorId="0" shapeId="0" xr:uid="{00000000-0006-0000-0600-000032000000}">
      <text>
        <r>
          <rPr>
            <sz val="11"/>
            <rFont val="Calibri"/>
          </rPr>
          <t>The NSX Manager must be configured to conduct backups on an organizationally defined schedule.</t>
        </r>
      </text>
    </comment>
    <comment ref="K68" authorId="0" shapeId="0" xr:uid="{00000000-0006-0000-0600-000033000000}">
      <text>
        <r>
          <rPr>
            <sz val="11"/>
            <rFont val="Calibri"/>
          </rPr>
          <t>The NSX Manager must be configured as a cluster.</t>
        </r>
      </text>
    </comment>
    <comment ref="L68" authorId="0" shapeId="0" xr:uid="{00000000-0006-0000-0600-000034000000}">
      <text>
        <r>
          <rPr>
            <sz val="11"/>
            <rFont val="Calibri"/>
          </rPr>
          <t>The NSX Managers must be deployed on separate physical hosts.</t>
        </r>
      </text>
    </comment>
    <comment ref="J88" authorId="0" shapeId="0" xr:uid="{00000000-0006-0000-0600-000035000000}">
      <text>
        <r>
          <rPr>
            <sz val="11"/>
            <rFont val="Calibri"/>
          </rPr>
          <t>The NSX Manager must be configured to protect against denial-of-service (DoS) attacks by limit the number of concurrent sessions to an organization-defined number.</t>
        </r>
      </text>
    </comment>
    <comment ref="K88" authorId="0" shapeId="0" xr:uid="{00000000-0006-0000-0600-000036000000}">
      <text>
        <r>
          <rPr>
            <sz val="11"/>
            <rFont val="Calibri"/>
          </rPr>
          <t>The NSX Tier-0 Gateway Firewall must manage excess bandwidth to limit the effects of packet flooding types of denial-of-service (DoS) attacks.</t>
        </r>
      </text>
    </comment>
    <comment ref="L88" authorId="0" shapeId="0" xr:uid="{00000000-0006-0000-0600-000037000000}">
      <text>
        <r>
          <rPr>
            <sz val="11"/>
            <rFont val="Calibri"/>
          </rPr>
          <t>The NSX Tier-0 Gateway router must be configured to restrict it from accepting outbound IP packets that contain an illegitimate address in the source address field by enabling Unicast Reverse Path Forwarding (uRPF).</t>
        </r>
      </text>
    </comment>
    <comment ref="M88" authorId="0" shapeId="0" xr:uid="{00000000-0006-0000-0600-000038000000}">
      <text>
        <r>
          <rPr>
            <sz val="11"/>
            <rFont val="Calibri"/>
          </rPr>
          <t>The NSX Tier-1 Gateway firewall must manage excess bandwidth to limit the effects of packet flooding types of denial-of-service (DoS) attacks.</t>
        </r>
      </text>
    </comment>
    <comment ref="N88" authorId="0" shapeId="0" xr:uid="{00000000-0006-0000-0600-000039000000}">
      <text>
        <r>
          <rPr>
            <sz val="11"/>
            <rFont val="Calibri"/>
          </rPr>
          <t>The NSX Tier-1 Gateway firewall must be configured to inspect traffic at the application layer.</t>
        </r>
      </text>
    </comment>
    <comment ref="O88" authorId="0" shapeId="0" xr:uid="{00000000-0006-0000-0600-00003A000000}">
      <text>
        <r>
          <rPr>
            <sz val="11"/>
            <rFont val="Calibri"/>
          </rPr>
          <t>The NSX Distributed Firewall must limit the effects of packet flooding types of denial-of-service (DoS) attacks.</t>
        </r>
      </text>
    </comment>
    <comment ref="P88" authorId="0" shapeId="0" xr:uid="{00000000-0006-0000-0600-00003B000000}">
      <text>
        <r>
          <rPr>
            <sz val="11"/>
            <rFont val="Calibri"/>
          </rPr>
          <t>The NSX Distributed Firewall must be configured to inspect traffic at the application layer.</t>
        </r>
      </text>
    </comment>
    <comment ref="Q88" authorId="0" shapeId="0" xr:uid="{00000000-0006-0000-0600-00003C000000}">
      <text>
        <r>
          <rPr>
            <sz val="11"/>
            <rFont val="Calibri"/>
          </rPr>
          <t>The NSX Distributed Firewall must configure SpoofGuard to restrict it from accepting outbound packets that contain an illegitimate address in the source address.</t>
        </r>
      </text>
    </comment>
    <comment ref="R88" authorId="0" shapeId="0" xr:uid="{00000000-0006-0000-0600-00003D000000}">
      <text>
        <r>
          <rPr>
            <sz val="11"/>
            <rFont val="Calibri"/>
          </rPr>
          <t>The NSX Distributed Firewall must configure an IP Discovery profile to disable trust on every use method.</t>
        </r>
      </text>
    </comment>
    <comment ref="J90" authorId="0" shapeId="0" xr:uid="{00000000-0006-0000-0600-00003E000000}">
      <text>
        <r>
          <rPr>
            <sz val="11"/>
            <rFont val="Calibri"/>
          </rPr>
          <t>The NSX Tier-0 Gateway Firewall must deny network communications traffic by default and allow network communications traffic by exception.</t>
        </r>
      </text>
    </comment>
    <comment ref="K90" authorId="0" shapeId="0" xr:uid="{00000000-0006-0000-0600-00003F000000}">
      <text>
        <r>
          <rPr>
            <sz val="11"/>
            <rFont val="Calibri"/>
          </rPr>
          <t>The NSX Tier-1 Gateway firewall must deny network communications traffic by default and allow network communications traffic by exception.</t>
        </r>
      </text>
    </comment>
    <comment ref="L90" authorId="0" shapeId="0" xr:uid="{00000000-0006-0000-0600-000040000000}">
      <text>
        <r>
          <rPr>
            <sz val="11"/>
            <rFont val="Calibri"/>
          </rPr>
          <t>The NSX Distributed Firewall must deny network communications traffic by default and allow network communications traffic by exception.</t>
        </r>
      </text>
    </comment>
    <comment ref="J91" authorId="0" shapeId="0" xr:uid="{00000000-0006-0000-0600-000041000000}">
      <text>
        <r>
          <rPr>
            <sz val="11"/>
            <rFont val="Calibri"/>
          </rPr>
          <t>The NSX Manager must only enable TLS 1.2 or greater.</t>
        </r>
      </text>
    </comment>
    <comment ref="K91" authorId="0" shapeId="0" xr:uid="{00000000-0006-0000-0600-000042000000}">
      <text>
        <r>
          <rPr>
            <sz val="11"/>
            <rFont val="Calibri"/>
          </rPr>
          <t>The NSX Manager must obtain its public key certificates from an appropriate certificate policy through an approved service provider.</t>
        </r>
      </text>
    </comment>
    <comment ref="L91" authorId="0" shapeId="0" xr:uid="{00000000-0006-0000-0600-000043000000}">
      <text>
        <r>
          <rPr>
            <sz val="11"/>
            <rFont val="Calibri"/>
          </rPr>
          <t>The NSX Manager must enable the global FIPS compliance mode for load balancers.</t>
        </r>
      </text>
    </comment>
    <comment ref="M91" authorId="0" shapeId="0" xr:uid="{00000000-0006-0000-0600-000044000000}">
      <text>
        <r>
          <rPr>
            <sz val="11"/>
            <rFont val="Calibri"/>
          </rPr>
          <t>The NSX Tier-0 Gateway router must be configured to use encryption for Open Shortest Path First (OSPF) routing protocol authentication.</t>
        </r>
      </text>
    </comment>
    <comment ref="N91" authorId="0" shapeId="0" xr:uid="{00000000-0006-0000-0600-000045000000}">
      <text>
        <r>
          <rPr>
            <sz val="11"/>
            <rFont val="Calibri"/>
          </rPr>
          <t>The NSX Tier-0 Gateway router must be configured to implement message authentication for all control plane protocols.</t>
        </r>
      </text>
    </comment>
    <comment ref="O91" authorId="0" shapeId="0" xr:uid="{00000000-0006-0000-0600-000046000000}">
      <text>
        <r>
          <rPr>
            <sz val="11"/>
            <rFont val="Calibri"/>
          </rPr>
          <t>The NSX Tier-0 Gateway router must be configured to use the Border Gateway Protocol (BGP) maximum prefixes feature to protect against route table flooding and prefix de-aggregation attacks.</t>
        </r>
      </text>
    </comment>
    <comment ref="P91" authorId="0" shapeId="0" xr:uid="{00000000-0006-0000-0600-000047000000}">
      <text>
        <r>
          <rPr>
            <sz val="11"/>
            <rFont val="Calibri"/>
          </rPr>
          <t>The NSX Tier-0 Gateway router must be configured to use encryption for border gateway protocol (BGP) routing protocol authentication.</t>
        </r>
      </text>
    </comment>
    <comment ref="J94" authorId="0" shapeId="0" xr:uid="{00000000-0006-0000-0600-000048000000}">
      <text>
        <r>
          <rPr>
            <sz val="11"/>
            <rFont val="Calibri"/>
          </rPr>
          <t>The NSX Manager must only enable TLS 1.2 or greater.</t>
        </r>
      </text>
    </comment>
    <comment ref="K94" authorId="0" shapeId="0" xr:uid="{00000000-0006-0000-0600-000049000000}">
      <text>
        <r>
          <rPr>
            <sz val="11"/>
            <rFont val="Calibri"/>
          </rPr>
          <t>The NSX Manager must enable the global FIPS compliance mode for load balancers.</t>
        </r>
      </text>
    </comment>
    <comment ref="J97" authorId="0" shapeId="0" xr:uid="{00000000-0006-0000-0600-00004A000000}">
      <text>
        <r>
          <rPr>
            <sz val="11"/>
            <rFont val="Calibri"/>
          </rPr>
          <t>The NSX Manager must obtain its public key certificates from an appropriate certificate policy through an approved service provider.</t>
        </r>
      </text>
    </comment>
    <comment ref="J99" authorId="0" shapeId="0" xr:uid="{00000000-0006-0000-0600-00004B000000}">
      <text>
        <r>
          <rPr>
            <sz val="11"/>
            <rFont val="Calibri"/>
          </rPr>
          <t>The NSX Manager must be running a release that is currently supported by the vendor.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NSX Manager must be configured to enforce the limit of three consecutive invalid logon attempts, after which time it must block any login attempt for 15 minutes.</t>
        </r>
      </text>
    </comment>
    <comment ref="I89" authorId="0" shapeId="0" xr:uid="{00000000-0006-0000-0700-000009000000}">
      <text>
        <r>
          <rPr>
            <sz val="11"/>
            <rFont val="Calibri"/>
          </rPr>
          <t>The NSX Manager must be configured to integrate with an identity provider that supports multifactor authentication (MFA).</t>
        </r>
      </text>
    </comment>
    <comment ref="J89" authorId="0" shapeId="0" xr:uid="{00000000-0006-0000-0700-000002000000}">
      <text>
        <r>
          <rPr>
            <sz val="11"/>
            <rFont val="Calibri"/>
          </rPr>
          <t>The NSX Manager must enforce a minimum 15-character password length for local accounts.</t>
        </r>
      </text>
    </comment>
    <comment ref="K89" authorId="0" shapeId="0" xr:uid="{00000000-0006-0000-0700-000003000000}">
      <text>
        <r>
          <rPr>
            <sz val="11"/>
            <rFont val="Calibri"/>
          </rPr>
          <t>The NSX Manager must enforce password complexity by requiring that at least one uppercase character be used for local accounts.</t>
        </r>
      </text>
    </comment>
    <comment ref="L89" authorId="0" shapeId="0" xr:uid="{00000000-0006-0000-0700-000004000000}">
      <text>
        <r>
          <rPr>
            <sz val="11"/>
            <rFont val="Calibri"/>
          </rPr>
          <t>The NSX Manager must enforce password complexity by requiring that at least one lowercase character be used for local accounts.</t>
        </r>
      </text>
    </comment>
    <comment ref="M89" authorId="0" shapeId="0" xr:uid="{00000000-0006-0000-0700-000005000000}">
      <text>
        <r>
          <rPr>
            <sz val="11"/>
            <rFont val="Calibri"/>
          </rPr>
          <t>The NSX Manager must enforce password complexity by requiring that at least one numeric character be used for local accounts.</t>
        </r>
      </text>
    </comment>
    <comment ref="N89" authorId="0" shapeId="0" xr:uid="{00000000-0006-0000-0700-000006000000}">
      <text>
        <r>
          <rPr>
            <sz val="11"/>
            <rFont val="Calibri"/>
          </rPr>
          <t>The NSX Manager must enforce password complexity by requiring that at least one special character be used for local accounts.</t>
        </r>
      </text>
    </comment>
    <comment ref="O89" authorId="0" shapeId="0" xr:uid="{00000000-0006-0000-0700-000007000000}">
      <text>
        <r>
          <rPr>
            <sz val="11"/>
            <rFont val="Calibri"/>
          </rPr>
          <t>The NSX Manager must require that when a password is changed, the characters are changed in at least eight of the positions within the password.</t>
        </r>
      </text>
    </comment>
    <comment ref="P89" authorId="0" shapeId="0" xr:uid="{00000000-0006-0000-0700-000008000000}">
      <text>
        <r>
          <rPr>
            <sz val="11"/>
            <rFont val="Calibri"/>
          </rPr>
          <t>The NSX Tier-0 Gateway must be configured to use a unique password for each autonomous system (AS) with which it peers.</t>
        </r>
      </text>
    </comment>
    <comment ref="H91" authorId="0" shapeId="0" xr:uid="{00000000-0006-0000-0700-00000A000000}">
      <text>
        <r>
          <rPr>
            <sz val="11"/>
            <rFont val="Calibri"/>
          </rPr>
          <t>The NSX Manager must be configured to integrate with an identity provider that supports multifactor authentication (MFA).</t>
        </r>
      </text>
    </comment>
    <comment ref="H92" authorId="0" shapeId="0" xr:uid="{00000000-0006-0000-0700-00000B000000}">
      <text>
        <r>
          <rPr>
            <sz val="11"/>
            <rFont val="Calibri"/>
          </rPr>
          <t>The NSX Manager must obtain its public key certificates from an appropriate certificate policy through an approved service provider.</t>
        </r>
      </text>
    </comment>
    <comment ref="H93" authorId="0" shapeId="0" xr:uid="{00000000-0006-0000-0700-00000C000000}">
      <text>
        <r>
          <rPr>
            <sz val="11"/>
            <rFont val="Calibri"/>
          </rPr>
          <t>The NSX Manager must assign users/accounts to organization-defined roles configured with approved authorizations.</t>
        </r>
      </text>
    </comment>
    <comment ref="I93" authorId="0" shapeId="0" xr:uid="{00000000-0006-0000-0700-00000D000000}">
      <text>
        <r>
          <rPr>
            <sz val="11"/>
            <rFont val="Calibri"/>
          </rPr>
          <t>The NSX Manager must be configured with only one local account to be used as the account of last resort in the event the authentication server is unavailable.</t>
        </r>
      </text>
    </comment>
    <comment ref="J93" authorId="0" shapeId="0" xr:uid="{00000000-0006-0000-0700-00000E000000}">
      <text>
        <r>
          <rPr>
            <sz val="11"/>
            <rFont val="Calibri"/>
          </rPr>
          <t>The NSX Manager must terminate all network connections associated with a session after five minutes of inactivity.</t>
        </r>
      </text>
    </comment>
    <comment ref="H111" authorId="0" shapeId="0" xr:uid="{00000000-0006-0000-0700-00000F000000}">
      <text>
        <r>
          <rPr>
            <sz val="11"/>
            <rFont val="Calibri"/>
          </rPr>
          <t>The NSX Manager must only enable TLS 1.2 or greater.</t>
        </r>
      </text>
    </comment>
    <comment ref="I111" authorId="0" shapeId="0" xr:uid="{00000000-0006-0000-0700-000010000000}">
      <text>
        <r>
          <rPr>
            <sz val="11"/>
            <rFont val="Calibri"/>
          </rPr>
          <t>The NSX Manager must enable the global FIPS compliance mode for load balancers.</t>
        </r>
      </text>
    </comment>
    <comment ref="J111" authorId="0" shapeId="0" xr:uid="{00000000-0006-0000-0700-000011000000}">
      <text>
        <r>
          <rPr>
            <sz val="11"/>
            <rFont val="Calibri"/>
          </rPr>
          <t>The NSX Tier-0 Gateway router must be configured to use encryption for Open Shortest Path First (OSPF) routing protocol authentication.</t>
        </r>
      </text>
    </comment>
    <comment ref="K111" authorId="0" shapeId="0" xr:uid="{00000000-0006-0000-0700-000012000000}">
      <text>
        <r>
          <rPr>
            <sz val="11"/>
            <rFont val="Calibri"/>
          </rPr>
          <t>The NSX Tier-0 Gateway router must be configured to implement message authentication for all control plane protocols.</t>
        </r>
      </text>
    </comment>
    <comment ref="L111" authorId="0" shapeId="0" xr:uid="{00000000-0006-0000-0700-000013000000}">
      <text>
        <r>
          <rPr>
            <sz val="11"/>
            <rFont val="Calibri"/>
          </rPr>
          <t>The NSX Tier-0 Gateway router must be configured to use the Border Gateway Protocol (BGP) maximum prefixes feature to protect against route table flooding and prefix de-aggregation attacks.</t>
        </r>
      </text>
    </comment>
    <comment ref="M111" authorId="0" shapeId="0" xr:uid="{00000000-0006-0000-0700-000014000000}">
      <text>
        <r>
          <rPr>
            <sz val="11"/>
            <rFont val="Calibri"/>
          </rPr>
          <t>The NSX Tier-0 Gateway router must be configured to use encryption for border gateway protocol (BGP) routing protocol authentication.</t>
        </r>
      </text>
    </comment>
    <comment ref="H113" authorId="0" shapeId="0" xr:uid="{00000000-0006-0000-0700-000015000000}">
      <text>
        <r>
          <rPr>
            <sz val="11"/>
            <rFont val="Calibri"/>
          </rPr>
          <t>The NSX Manager must be configured to protect against denial-of-service (DoS) attacks by limit the number of concurrent sessions to an organization-defined number.</t>
        </r>
      </text>
    </comment>
    <comment ref="I113" authorId="0" shapeId="0" xr:uid="{00000000-0006-0000-0700-000016000000}">
      <text>
        <r>
          <rPr>
            <sz val="11"/>
            <rFont val="Calibri"/>
          </rPr>
          <t>The NSX Tier-0 Gateway Firewall must manage excess bandwidth to limit the effects of packet flooding types of denial-of-service (DoS) attacks.</t>
        </r>
      </text>
    </comment>
    <comment ref="J113" authorId="0" shapeId="0" xr:uid="{00000000-0006-0000-0700-000017000000}">
      <text>
        <r>
          <rPr>
            <sz val="11"/>
            <rFont val="Calibri"/>
          </rPr>
          <t>The NSX Tier-1 Gateway firewall must manage excess bandwidth to limit the effects of packet flooding types of denial-of-service (DoS) attacks.</t>
        </r>
      </text>
    </comment>
    <comment ref="K113" authorId="0" shapeId="0" xr:uid="{00000000-0006-0000-0700-000018000000}">
      <text>
        <r>
          <rPr>
            <sz val="11"/>
            <rFont val="Calibri"/>
          </rPr>
          <t>The NSX Distributed Firewall must limit the effects of packet flooding types of denial-of-service (DoS) attacks.</t>
        </r>
      </text>
    </comment>
    <comment ref="H114" authorId="0" shapeId="0" xr:uid="{00000000-0006-0000-0700-000019000000}">
      <text>
        <r>
          <rPr>
            <sz val="11"/>
            <rFont val="Calibri"/>
          </rPr>
          <t>The NSX Manager must not provide environment information to third parties.</t>
        </r>
      </text>
    </comment>
    <comment ref="H119" authorId="0" shapeId="0" xr:uid="{00000000-0006-0000-0700-00001A000000}">
      <text>
        <r>
          <rPr>
            <sz val="11"/>
            <rFont val="Calibri"/>
          </rPr>
          <t>The NSX Manager must be configured to conduct backups on an organizationally defined schedule.</t>
        </r>
      </text>
    </comment>
    <comment ref="I119" authorId="0" shapeId="0" xr:uid="{00000000-0006-0000-0700-00001B000000}">
      <text>
        <r>
          <rPr>
            <sz val="11"/>
            <rFont val="Calibri"/>
          </rPr>
          <t>The NSX Manager must be configured as a cluster.</t>
        </r>
      </text>
    </comment>
    <comment ref="J119" authorId="0" shapeId="0" xr:uid="{00000000-0006-0000-0700-00001C000000}">
      <text>
        <r>
          <rPr>
            <sz val="11"/>
            <rFont val="Calibri"/>
          </rPr>
          <t>The NSX Managers must be deployed on separate physical hosts.</t>
        </r>
      </text>
    </comment>
    <comment ref="H134" authorId="0" shapeId="0" xr:uid="{00000000-0006-0000-0700-00001D000000}">
      <text>
        <r>
          <rPr>
            <sz val="11"/>
            <rFont val="Calibri"/>
          </rPr>
          <t>The NSX Tier-0 Gateway Firewall must deny network communications traffic by default and allow network communications traffic by exception.</t>
        </r>
      </text>
    </comment>
    <comment ref="I134" authorId="0" shapeId="0" xr:uid="{00000000-0006-0000-0700-00001E000000}">
      <text>
        <r>
          <rPr>
            <sz val="11"/>
            <rFont val="Calibri"/>
          </rPr>
          <t>The NSX Tier-0 Gateway router must be configured to restrict it from accepting outbound IP packets that contain an illegitimate address in the source address field by enabling Unicast Reverse Path Forwarding (uRPF).</t>
        </r>
      </text>
    </comment>
    <comment ref="J134" authorId="0" shapeId="0" xr:uid="{00000000-0006-0000-0700-00001F000000}">
      <text>
        <r>
          <rPr>
            <sz val="11"/>
            <rFont val="Calibri"/>
          </rPr>
          <t>The NSX Tier-1 Gateway firewall must deny network communications traffic by default and allow network communications traffic by exception.</t>
        </r>
      </text>
    </comment>
    <comment ref="K134" authorId="0" shapeId="0" xr:uid="{00000000-0006-0000-0700-000020000000}">
      <text>
        <r>
          <rPr>
            <sz val="11"/>
            <rFont val="Calibri"/>
          </rPr>
          <t>The NSX Distributed Firewall must deny network communications traffic by default and allow network communications traffic by exception.</t>
        </r>
      </text>
    </comment>
    <comment ref="L134" authorId="0" shapeId="0" xr:uid="{00000000-0006-0000-0700-000021000000}">
      <text>
        <r>
          <rPr>
            <sz val="11"/>
            <rFont val="Calibri"/>
          </rPr>
          <t>The NSX Distributed Firewall must configure SpoofGuard to restrict it from accepting outbound packets that contain an illegitimate address in the source address.</t>
        </r>
      </text>
    </comment>
    <comment ref="M134" authorId="0" shapeId="0" xr:uid="{00000000-0006-0000-0700-000022000000}">
      <text>
        <r>
          <rPr>
            <sz val="11"/>
            <rFont val="Calibri"/>
          </rPr>
          <t>The NSX Distributed Firewall must configure an IP Discovery profile to disable trust on every use method.</t>
        </r>
      </text>
    </comment>
    <comment ref="H142" authorId="0" shapeId="0" xr:uid="{00000000-0006-0000-0700-000023000000}">
      <text>
        <r>
          <rPr>
            <sz val="11"/>
            <rFont val="Calibri"/>
          </rPr>
          <t>The NSX Manager must disable SSH.</t>
        </r>
      </text>
    </comment>
    <comment ref="I142" authorId="0" shapeId="0" xr:uid="{00000000-0006-0000-0700-00002B000000}">
      <text>
        <r>
          <rPr>
            <sz val="11"/>
            <rFont val="Calibri"/>
          </rPr>
          <t>The NSX Manager must disable SNMP v2.</t>
        </r>
      </text>
    </comment>
    <comment ref="J142" authorId="0" shapeId="0" xr:uid="{00000000-0006-0000-0700-00002C000000}">
      <text>
        <r>
          <rPr>
            <sz val="11"/>
            <rFont val="Calibri"/>
          </rPr>
          <t>The NSX Tier-0 Gateway router must be configured to disable Protocol Independent Multicast (PIM) on all interfaces that are not required to support multicast routing.</t>
        </r>
      </text>
    </comment>
    <comment ref="K142" authorId="0" shapeId="0" xr:uid="{00000000-0006-0000-0700-00002D000000}">
      <text>
        <r>
          <rPr>
            <sz val="11"/>
            <rFont val="Calibri"/>
          </rPr>
          <t>The NSX Tier-0 Gateway router must be configured to have all inactive interfaces removed.</t>
        </r>
      </text>
    </comment>
    <comment ref="L142" authorId="0" shapeId="0" xr:uid="{00000000-0006-0000-0700-00002E000000}">
      <text>
        <r>
          <rPr>
            <sz val="11"/>
            <rFont val="Calibri"/>
          </rPr>
          <t>The NSX Tier-0 Gateway router must be configured to have the Dynamic Host Configuration Protocol (DHCP) service disabled if not in use.</t>
        </r>
      </text>
    </comment>
    <comment ref="M142" authorId="0" shapeId="0" xr:uid="{00000000-0006-0000-0700-00002F000000}">
      <text>
        <r>
          <rPr>
            <sz val="11"/>
            <rFont val="Calibri"/>
          </rPr>
          <t>The NSX Tier-0 Gateway router must be configured to have Internet Control Message Protocol (ICMP) unreachable notifications disabled on all external interfaces.</t>
        </r>
      </text>
    </comment>
    <comment ref="N142" authorId="0" shapeId="0" xr:uid="{00000000-0006-0000-0700-000030000000}">
      <text>
        <r>
          <rPr>
            <sz val="11"/>
            <rFont val="Calibri"/>
          </rPr>
          <t>The NSX Tier-0 Gateway router must be configured to have Internet Control Message Protocol (ICMP) mask replies disabled on all external interfaces.</t>
        </r>
      </text>
    </comment>
    <comment ref="O142" authorId="0" shapeId="0" xr:uid="{00000000-0006-0000-0700-000031000000}">
      <text>
        <r>
          <rPr>
            <sz val="11"/>
            <rFont val="Calibri"/>
          </rPr>
          <t>The NSX Tier-0 Gateway router must be configured to have Internet Control Message Protocol (ICMP) redirects disabled on all external interfaces.</t>
        </r>
      </text>
    </comment>
    <comment ref="P142" authorId="0" shapeId="0" xr:uid="{00000000-0006-0000-0700-000032000000}">
      <text>
        <r>
          <rPr>
            <sz val="11"/>
            <rFont val="Calibri"/>
          </rPr>
          <t>The NSX Tier-0 Gateway router must be configured to use its loopback address as the source address for Internal Border Gateway Protocol (IBGP) peering sessions.</t>
        </r>
      </text>
    </comment>
    <comment ref="Q142" authorId="0" shapeId="0" xr:uid="{00000000-0006-0000-0700-000024000000}">
      <text>
        <r>
          <rPr>
            <sz val="11"/>
            <rFont val="Calibri"/>
          </rPr>
          <t>The NSX Tier-0 Gateway router must be configured to advertise a hop limit of at least 32 in Router Advertisement messages for IPv6 stateless auto-configuration deployments.</t>
        </r>
      </text>
    </comment>
    <comment ref="R142" authorId="0" shapeId="0" xr:uid="{00000000-0006-0000-0700-000025000000}">
      <text>
        <r>
          <rPr>
            <sz val="11"/>
            <rFont val="Calibri"/>
          </rPr>
          <t>The NSX Tier-0 Gateway router must be configured to have routing protocols disabled if not in use.</t>
        </r>
      </text>
    </comment>
    <comment ref="S142" authorId="0" shapeId="0" xr:uid="{00000000-0006-0000-0700-000026000000}">
      <text>
        <r>
          <rPr>
            <sz val="11"/>
            <rFont val="Calibri"/>
          </rPr>
          <t>The NSX Tier-0 Gateway router must be configured to have multicast disabled if not in use.</t>
        </r>
      </text>
    </comment>
    <comment ref="T142" authorId="0" shapeId="0" xr:uid="{00000000-0006-0000-0700-000027000000}">
      <text>
        <r>
          <rPr>
            <sz val="11"/>
            <rFont val="Calibri"/>
          </rPr>
          <t>The NSX Tier-1 Gateway router must be configured to have all inactive interfaces removed.</t>
        </r>
      </text>
    </comment>
    <comment ref="U142" authorId="0" shapeId="0" xr:uid="{00000000-0006-0000-0700-000028000000}">
      <text>
        <r>
          <rPr>
            <sz val="11"/>
            <rFont val="Calibri"/>
          </rPr>
          <t>The NSX Tier-1 Gateway router must be configured to have the DHCP service disabled if not in use.</t>
        </r>
      </text>
    </comment>
    <comment ref="V142" authorId="0" shapeId="0" xr:uid="{00000000-0006-0000-0700-000029000000}">
      <text>
        <r>
          <rPr>
            <sz val="11"/>
            <rFont val="Calibri"/>
          </rPr>
          <t>The NSX Tier-1 Gateway router must be configured to advertise a hop limit of at least 32 in Router Advertisement messages for IPv6 stateless auto-configuration deployments.</t>
        </r>
      </text>
    </comment>
    <comment ref="W142" authorId="0" shapeId="0" xr:uid="{00000000-0006-0000-0700-00002A000000}">
      <text>
        <r>
          <rPr>
            <sz val="11"/>
            <rFont val="Calibri"/>
          </rPr>
          <t>The NSX Tier-1 Gateway router must be configured to have multicast disabled if not in use.</t>
        </r>
      </text>
    </comment>
    <comment ref="H143" authorId="0" shapeId="0" xr:uid="{00000000-0006-0000-0700-000033000000}">
      <text>
        <r>
          <rPr>
            <sz val="11"/>
            <rFont val="Calibri"/>
          </rPr>
          <t>The NSX Manager must be running a release that is currently supported by the vendor.</t>
        </r>
      </text>
    </comment>
    <comment ref="H145" authorId="0" shapeId="0" xr:uid="{00000000-0006-0000-0700-000034000000}">
      <text>
        <r>
          <rPr>
            <sz val="11"/>
            <rFont val="Calibri"/>
          </rPr>
          <t>The NSX Manager must configure logging levels for services to ensure audit records are generated.</t>
        </r>
      </text>
    </comment>
    <comment ref="I145" authorId="0" shapeId="0" xr:uid="{00000000-0006-0000-0700-000035000000}">
      <text>
        <r>
          <rPr>
            <sz val="11"/>
            <rFont val="Calibri"/>
          </rPr>
          <t>The NSX Manager must be configured to synchronize internal information system clocks using redundant authoritative time sources.</t>
        </r>
      </text>
    </comment>
    <comment ref="J145" authorId="0" shapeId="0" xr:uid="{00000000-0006-0000-0700-000036000000}">
      <text>
        <r>
          <rPr>
            <sz val="11"/>
            <rFont val="Calibri"/>
          </rPr>
          <t>The NSX Manager must record time stamps for audit records that can be mapped to Coordinated Universal Time (UTC).</t>
        </r>
      </text>
    </comment>
    <comment ref="K145" authorId="0" shapeId="0" xr:uid="{00000000-0006-0000-0700-000037000000}">
      <text>
        <r>
          <rPr>
            <sz val="11"/>
            <rFont val="Calibri"/>
          </rPr>
          <t>The NSX Manager must be configured to send logs to a central log server.</t>
        </r>
      </text>
    </comment>
    <comment ref="L145" authorId="0" shapeId="0" xr:uid="{00000000-0006-0000-0700-000038000000}">
      <text>
        <r>
          <rPr>
            <sz val="11"/>
            <rFont val="Calibri"/>
          </rPr>
          <t>The NSX Tier-0 Gateway Firewall must generate traffic log entries.</t>
        </r>
      </text>
    </comment>
    <comment ref="M145" authorId="0" shapeId="0" xr:uid="{00000000-0006-0000-0700-000039000000}">
      <text>
        <r>
          <rPr>
            <sz val="11"/>
            <rFont val="Calibri"/>
          </rPr>
          <t>The NSX Tier-0 Gateway Firewall must be configured to send traffic log entries to a central log server.</t>
        </r>
      </text>
    </comment>
    <comment ref="N145" authorId="0" shapeId="0" xr:uid="{00000000-0006-0000-0700-00003A000000}">
      <text>
        <r>
          <rPr>
            <sz val="11"/>
            <rFont val="Calibri"/>
          </rPr>
          <t>The NSX Tier-1 Gateway firewall must generate traffic log entries.</t>
        </r>
      </text>
    </comment>
    <comment ref="O145" authorId="0" shapeId="0" xr:uid="{00000000-0006-0000-0700-00003B000000}">
      <text>
        <r>
          <rPr>
            <sz val="11"/>
            <rFont val="Calibri"/>
          </rPr>
          <t>The NSX Tier-1 Gateway firewall must be configured to send traffic log entries to a central audit server.</t>
        </r>
      </text>
    </comment>
    <comment ref="P145" authorId="0" shapeId="0" xr:uid="{00000000-0006-0000-0700-00003C000000}">
      <text>
        <r>
          <rPr>
            <sz val="11"/>
            <rFont val="Calibri"/>
          </rPr>
          <t>The NSX Distributed Firewall must generate traffic log entries that can be sent by the ESXi hosts to the central syslog.</t>
        </r>
      </text>
    </comment>
    <comment ref="H157" authorId="0" shapeId="0" xr:uid="{00000000-0006-0000-0700-00003D000000}">
      <text>
        <r>
          <rPr>
            <sz val="11"/>
            <rFont val="Calibri"/>
          </rPr>
          <t>The NSX Tier-1 Gateway firewall must be configured to inspect traffic at the application layer.</t>
        </r>
      </text>
    </comment>
    <comment ref="I157" authorId="0" shapeId="0" xr:uid="{00000000-0006-0000-0700-00003E000000}">
      <text>
        <r>
          <rPr>
            <sz val="11"/>
            <rFont val="Calibri"/>
          </rPr>
          <t>The NSX Distributed Firewall must be configured to inspect traffic at the application layer.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6" authorId="0" shapeId="0" xr:uid="{00000000-0006-0000-0800-000001000000}">
      <text>
        <r>
          <rPr>
            <sz val="11"/>
            <rFont val="Calibri"/>
          </rPr>
          <t>The NSX Tier-0 Gateway Firewall must deny network communications traffic by default and allow network communications traffic by exception.</t>
        </r>
      </text>
    </comment>
    <comment ref="H46" authorId="0" shapeId="0" xr:uid="{00000000-0006-0000-0800-000003000000}">
      <text>
        <r>
          <rPr>
            <sz val="11"/>
            <rFont val="Calibri"/>
          </rPr>
          <t>The NSX Tier-1 Gateway firewall must deny network communications traffic by default and allow network communications traffic by exception.</t>
        </r>
      </text>
    </comment>
    <comment ref="I46" authorId="0" shapeId="0" xr:uid="{00000000-0006-0000-0800-000002000000}">
      <text>
        <r>
          <rPr>
            <sz val="11"/>
            <rFont val="Calibri"/>
          </rPr>
          <t>The NSX Distributed Firewall must deny network communications traffic by default and allow network communications traffic by exception.</t>
        </r>
      </text>
    </comment>
    <comment ref="G52" authorId="0" shapeId="0" xr:uid="{00000000-0006-0000-0800-000004000000}">
      <text>
        <r>
          <rPr>
            <sz val="11"/>
            <rFont val="Calibri"/>
          </rPr>
          <t>The NSX Manager must disable SSH.</t>
        </r>
      </text>
    </comment>
    <comment ref="G74" authorId="0" shapeId="0" xr:uid="{00000000-0006-0000-0800-000005000000}">
      <text>
        <r>
          <rPr>
            <sz val="11"/>
            <rFont val="Calibri"/>
          </rPr>
          <t>The NSX Manager must be running a release that is currently supported by the vendor.</t>
        </r>
      </text>
    </comment>
    <comment ref="G81" authorId="0" shapeId="0" xr:uid="{00000000-0006-0000-0800-000006000000}">
      <text>
        <r>
          <rPr>
            <sz val="11"/>
            <rFont val="Calibri"/>
          </rPr>
          <t>The NSX Manager must be configured to integrate with an identity provider that supports multifactor authentication (MFA).</t>
        </r>
      </text>
    </comment>
    <comment ref="G83" authorId="0" shapeId="0" xr:uid="{00000000-0006-0000-0800-000007000000}">
      <text>
        <r>
          <rPr>
            <sz val="11"/>
            <rFont val="Calibri"/>
          </rPr>
          <t>The NSX Manager must assign users/accounts to organization-defined roles configured with approved authorizations.</t>
        </r>
      </text>
    </comment>
    <comment ref="G86" authorId="0" shapeId="0" xr:uid="{00000000-0006-0000-0800-000008000000}">
      <text>
        <r>
          <rPr>
            <sz val="11"/>
            <rFont val="Calibri"/>
          </rPr>
          <t>The NSX Manager must be configured with only one local account to be used as the account of last resort in the event the authentication server is unavailable.</t>
        </r>
      </text>
    </comment>
    <comment ref="G92" authorId="0" shapeId="0" xr:uid="{00000000-0006-0000-0800-000009000000}">
      <text>
        <r>
          <rPr>
            <sz val="11"/>
            <rFont val="Calibri"/>
          </rPr>
          <t>The NSX Manager must enforce a minimum 15-character password length for local accounts.</t>
        </r>
      </text>
    </comment>
    <comment ref="H92" authorId="0" shapeId="0" xr:uid="{00000000-0006-0000-0800-00000C000000}">
      <text>
        <r>
          <rPr>
            <sz val="11"/>
            <rFont val="Calibri"/>
          </rPr>
          <t>The NSX Manager must enforce password complexity by requiring that at least one uppercase character be used for local accounts.</t>
        </r>
      </text>
    </comment>
    <comment ref="I92" authorId="0" shapeId="0" xr:uid="{00000000-0006-0000-0800-00000D000000}">
      <text>
        <r>
          <rPr>
            <sz val="11"/>
            <rFont val="Calibri"/>
          </rPr>
          <t>The NSX Manager must enforce password complexity by requiring that at least one lowercase character be used for local accounts.</t>
        </r>
      </text>
    </comment>
    <comment ref="J92" authorId="0" shapeId="0" xr:uid="{00000000-0006-0000-0800-00000A000000}">
      <text>
        <r>
          <rPr>
            <sz val="11"/>
            <rFont val="Calibri"/>
          </rPr>
          <t>The NSX Manager must enforce password complexity by requiring that at least one numeric character be used for local accounts.</t>
        </r>
      </text>
    </comment>
    <comment ref="K92" authorId="0" shapeId="0" xr:uid="{00000000-0006-0000-0800-00000B000000}">
      <text>
        <r>
          <rPr>
            <sz val="11"/>
            <rFont val="Calibri"/>
          </rPr>
          <t>The NSX Manager must enforce password complexity by requiring that at least one special character be used for local accounts.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NSX Tier-0 Gateway Firewall must deny network communications traffic by default and allow network communications traffic by exception.</t>
        </r>
      </text>
    </comment>
    <comment ref="M16" authorId="0" shapeId="0" xr:uid="{00000000-0006-0000-0A00-000003000000}">
      <text>
        <r>
          <rPr>
            <sz val="11"/>
            <rFont val="Calibri"/>
          </rPr>
          <t>The NSX Tier-1 Gateway firewall must deny network communications traffic by default and allow network communications traffic by exception.</t>
        </r>
      </text>
    </comment>
    <comment ref="N16" authorId="0" shapeId="0" xr:uid="{00000000-0006-0000-0A00-000002000000}">
      <text>
        <r>
          <rPr>
            <sz val="11"/>
            <rFont val="Calibri"/>
          </rPr>
          <t>The NSX Distributed Firewall must deny network communications traffic by default and allow network communications traffic by exception.</t>
        </r>
      </text>
    </comment>
    <comment ref="L17" authorId="0" shapeId="0" xr:uid="{00000000-0006-0000-0A00-000004000000}">
      <text>
        <r>
          <rPr>
            <sz val="11"/>
            <rFont val="Calibri"/>
          </rPr>
          <t>The NSX Tier-0 Gateway Firewall must deny network communications traffic by default and allow network communications traffic by exception.</t>
        </r>
      </text>
    </comment>
    <comment ref="M17" authorId="0" shapeId="0" xr:uid="{00000000-0006-0000-0A00-000005000000}">
      <text>
        <r>
          <rPr>
            <sz val="11"/>
            <rFont val="Calibri"/>
          </rPr>
          <t>The NSX Tier-1 Gateway firewall must deny network communications traffic by default and allow network communications traffic by exception.</t>
        </r>
      </text>
    </comment>
    <comment ref="N17" authorId="0" shapeId="0" xr:uid="{00000000-0006-0000-0A00-000006000000}">
      <text>
        <r>
          <rPr>
            <sz val="11"/>
            <rFont val="Calibri"/>
          </rPr>
          <t>The NSX Distributed Firewall must deny network communications traffic by default and allow network communications traffic by exception.</t>
        </r>
      </text>
    </comment>
    <comment ref="L35" authorId="0" shapeId="0" xr:uid="{00000000-0006-0000-0A00-000007000000}">
      <text>
        <r>
          <rPr>
            <sz val="11"/>
            <rFont val="Calibri"/>
          </rPr>
          <t>The NSX Manager must disable SSH.</t>
        </r>
      </text>
    </comment>
    <comment ref="L36" authorId="0" shapeId="0" xr:uid="{00000000-0006-0000-0A00-000008000000}">
      <text>
        <r>
          <rPr>
            <sz val="11"/>
            <rFont val="Calibri"/>
          </rPr>
          <t>The NSX Manager must disable SNMP v2.</t>
        </r>
      </text>
    </comment>
    <comment ref="L84" authorId="0" shapeId="0" xr:uid="{00000000-0006-0000-0A00-000009000000}">
      <text>
        <r>
          <rPr>
            <sz val="11"/>
            <rFont val="Calibri"/>
          </rPr>
          <t>The NSX Manager must only enable TLS 1.2 or greater.</t>
        </r>
      </text>
    </comment>
    <comment ref="M84" authorId="0" shapeId="0" xr:uid="{00000000-0006-0000-0A00-00000A000000}">
      <text>
        <r>
          <rPr>
            <sz val="11"/>
            <rFont val="Calibri"/>
          </rPr>
          <t>The NSX Manager must enable the global FIPS compliance mode for load balancers.</t>
        </r>
      </text>
    </comment>
    <comment ref="L119" authorId="0" shapeId="0" xr:uid="{00000000-0006-0000-0A00-00000B000000}">
      <text>
        <r>
          <rPr>
            <sz val="11"/>
            <rFont val="Calibri"/>
          </rPr>
          <t>The NSX Manager must be running a release that is currently supported by the vendor.</t>
        </r>
      </text>
    </comment>
    <comment ref="L137" authorId="0" shapeId="0" xr:uid="{00000000-0006-0000-0A00-00000C000000}">
      <text>
        <r>
          <rPr>
            <sz val="11"/>
            <rFont val="Calibri"/>
          </rPr>
          <t>The NSX Manager must assign users/accounts to organization-defined roles configured with approved authorizations.</t>
        </r>
      </text>
    </comment>
    <comment ref="L145" authorId="0" shapeId="0" xr:uid="{00000000-0006-0000-0A00-00000D000000}">
      <text>
        <r>
          <rPr>
            <sz val="11"/>
            <rFont val="Calibri"/>
          </rPr>
          <t>The NSX Manager must assign users/accounts to organization-defined roles configured with approved authorizations.</t>
        </r>
      </text>
    </comment>
    <comment ref="L152" authorId="0" shapeId="0" xr:uid="{00000000-0006-0000-0A00-00000E000000}">
      <text>
        <r>
          <rPr>
            <sz val="11"/>
            <rFont val="Calibri"/>
          </rPr>
          <t>The NSX Manager must be configured to integrate with an identity provider that supports multifactor authentication (MFA).</t>
        </r>
      </text>
    </comment>
    <comment ref="L159" authorId="0" shapeId="0" xr:uid="{00000000-0006-0000-0A00-00000F000000}">
      <text>
        <r>
          <rPr>
            <sz val="11"/>
            <rFont val="Calibri"/>
          </rPr>
          <t>The NSX Manager must terminate all network connections associated with a session after five minutes of inactivity.</t>
        </r>
      </text>
    </comment>
    <comment ref="L164" authorId="0" shapeId="0" xr:uid="{00000000-0006-0000-0A00-000010000000}">
      <text>
        <r>
          <rPr>
            <sz val="11"/>
            <rFont val="Calibri"/>
          </rPr>
          <t>The NSX Manager must be configured to enforce the limit of three consecutive invalid logon attempts, after which time it must block any login attempt for 15 minutes.</t>
        </r>
      </text>
    </comment>
    <comment ref="L166" authorId="0" shapeId="0" xr:uid="{00000000-0006-0000-0A00-000011000000}">
      <text>
        <r>
          <rPr>
            <sz val="11"/>
            <rFont val="Calibri"/>
          </rPr>
          <t>The NSX Manager must enforce a minimum 15-character password length for local accounts.</t>
        </r>
      </text>
    </comment>
    <comment ref="M166" authorId="0" shapeId="0" xr:uid="{00000000-0006-0000-0A00-000014000000}">
      <text>
        <r>
          <rPr>
            <sz val="11"/>
            <rFont val="Calibri"/>
          </rPr>
          <t>The NSX Manager must enforce password complexity by requiring that at least one uppercase character be used for local accounts.</t>
        </r>
      </text>
    </comment>
    <comment ref="N166" authorId="0" shapeId="0" xr:uid="{00000000-0006-0000-0A00-000015000000}">
      <text>
        <r>
          <rPr>
            <sz val="11"/>
            <rFont val="Calibri"/>
          </rPr>
          <t>The NSX Manager must enforce password complexity by requiring that at least one lowercase character be used for local accounts.</t>
        </r>
      </text>
    </comment>
    <comment ref="O166" authorId="0" shapeId="0" xr:uid="{00000000-0006-0000-0A00-000012000000}">
      <text>
        <r>
          <rPr>
            <sz val="11"/>
            <rFont val="Calibri"/>
          </rPr>
          <t>The NSX Manager must enforce password complexity by requiring that at least one numeric character be used for local accounts.</t>
        </r>
      </text>
    </comment>
    <comment ref="P166" authorId="0" shapeId="0" xr:uid="{00000000-0006-0000-0A00-000013000000}">
      <text>
        <r>
          <rPr>
            <sz val="11"/>
            <rFont val="Calibri"/>
          </rPr>
          <t>The NSX Manager must enforce password complexity by requiring that at least one special character be used for local accounts.</t>
        </r>
      </text>
    </comment>
    <comment ref="L221" authorId="0" shapeId="0" xr:uid="{00000000-0006-0000-0A00-000016000000}">
      <text>
        <r>
          <rPr>
            <sz val="11"/>
            <rFont val="Calibri"/>
          </rPr>
          <t>The NSX Manager must configure logging levels for services to ensure audit records are generated.</t>
        </r>
      </text>
    </comment>
    <comment ref="M221" authorId="0" shapeId="0" xr:uid="{00000000-0006-0000-0A00-000017000000}">
      <text>
        <r>
          <rPr>
            <sz val="11"/>
            <rFont val="Calibri"/>
          </rPr>
          <t>The NSX Manager must be configured to send logs to a central log server.</t>
        </r>
      </text>
    </comment>
    <comment ref="N221" authorId="0" shapeId="0" xr:uid="{00000000-0006-0000-0A00-000018000000}">
      <text>
        <r>
          <rPr>
            <sz val="11"/>
            <rFont val="Calibri"/>
          </rPr>
          <t>The NSX Tier-0 Gateway Firewall must generate traffic log entries.</t>
        </r>
      </text>
    </comment>
    <comment ref="O221" authorId="0" shapeId="0" xr:uid="{00000000-0006-0000-0A00-000019000000}">
      <text>
        <r>
          <rPr>
            <sz val="11"/>
            <rFont val="Calibri"/>
          </rPr>
          <t>The NSX Tier-1 Gateway firewall must generate traffic log entries.</t>
        </r>
      </text>
    </comment>
    <comment ref="P221" authorId="0" shapeId="0" xr:uid="{00000000-0006-0000-0A00-00001A000000}">
      <text>
        <r>
          <rPr>
            <sz val="11"/>
            <rFont val="Calibri"/>
          </rPr>
          <t>The NSX Distributed Firewall must generate traffic log entries that can be sent by the ESXi hosts to the central syslog.</t>
        </r>
      </text>
    </comment>
    <comment ref="L229" authorId="0" shapeId="0" xr:uid="{00000000-0006-0000-0A00-00001B000000}">
      <text>
        <r>
          <rPr>
            <sz val="11"/>
            <rFont val="Calibri"/>
          </rPr>
          <t>The NSX Tier-0 Gateway Firewall must generate traffic log entries.</t>
        </r>
      </text>
    </comment>
    <comment ref="M229" authorId="0" shapeId="0" xr:uid="{00000000-0006-0000-0A00-00001C000000}">
      <text>
        <r>
          <rPr>
            <sz val="11"/>
            <rFont val="Calibri"/>
          </rPr>
          <t>The NSX Tier-1 Gateway firewall must generate traffic log entries.</t>
        </r>
      </text>
    </comment>
    <comment ref="N229" authorId="0" shapeId="0" xr:uid="{00000000-0006-0000-0A00-00001D000000}">
      <text>
        <r>
          <rPr>
            <sz val="11"/>
            <rFont val="Calibri"/>
          </rPr>
          <t>The NSX Distributed Firewall must generate traffic log entries that can be sent by the ESXi hosts to the central syslog.</t>
        </r>
      </text>
    </comment>
    <comment ref="L233" authorId="0" shapeId="0" xr:uid="{00000000-0006-0000-0A00-00001E000000}">
      <text>
        <r>
          <rPr>
            <sz val="11"/>
            <rFont val="Calibri"/>
          </rPr>
          <t>The NSX Manager must configure logging levels for services to ensure audit records are generated.</t>
        </r>
      </text>
    </comment>
    <comment ref="M233" authorId="0" shapeId="0" xr:uid="{00000000-0006-0000-0A00-00001F000000}">
      <text>
        <r>
          <rPr>
            <sz val="11"/>
            <rFont val="Calibri"/>
          </rPr>
          <t>The NSX Manager must be configured to send logs to a central log server.</t>
        </r>
      </text>
    </comment>
    <comment ref="L244" authorId="0" shapeId="0" xr:uid="{00000000-0006-0000-0A00-000020000000}">
      <text>
        <r>
          <rPr>
            <sz val="11"/>
            <rFont val="Calibri"/>
          </rPr>
          <t>The NSX Manager must be configured to synchronize internal information system clocks using redundant authoritative time sources.</t>
        </r>
      </text>
    </comment>
    <comment ref="L245" authorId="0" shapeId="0" xr:uid="{00000000-0006-0000-0A00-000021000000}">
      <text>
        <r>
          <rPr>
            <sz val="11"/>
            <rFont val="Calibri"/>
          </rPr>
          <t>The NSX Manager must be configured to synchronize internal information system clocks using redundant authoritative time sources.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The NSX Manager must be running a release that is currently supported by the vendor.</t>
        </r>
      </text>
    </comment>
    <comment ref="H313" authorId="0" shapeId="0" xr:uid="{00000000-0006-0000-0B00-000002000000}">
      <text>
        <r>
          <rPr>
            <sz val="11"/>
            <rFont val="Calibri"/>
          </rPr>
          <t>The NSX Manager must be configured with only one local account to be used as the account of last resort in the event the authentication server is unavailable.</t>
        </r>
      </text>
    </comment>
    <comment ref="H345" authorId="0" shapeId="0" xr:uid="{00000000-0006-0000-0B00-000003000000}">
      <text>
        <r>
          <rPr>
            <sz val="11"/>
            <rFont val="Calibri"/>
          </rPr>
          <t>The NSX Manager must assign users/accounts to organization-defined roles configured with approved authorizations.</t>
        </r>
      </text>
    </comment>
    <comment ref="H349" authorId="0" shapeId="0" xr:uid="{00000000-0006-0000-0B00-000004000000}">
      <text>
        <r>
          <rPr>
            <sz val="11"/>
            <rFont val="Calibri"/>
          </rPr>
          <t>The NSX Manager must only enable TLS 1.2 or greater.</t>
        </r>
      </text>
    </comment>
    <comment ref="I349" authorId="0" shapeId="0" xr:uid="{00000000-0006-0000-0B00-000005000000}">
      <text>
        <r>
          <rPr>
            <sz val="11"/>
            <rFont val="Calibri"/>
          </rPr>
          <t>The NSX Manager must enable the global FIPS compliance mode for load balancers.</t>
        </r>
      </text>
    </comment>
    <comment ref="H355" authorId="0" shapeId="0" xr:uid="{00000000-0006-0000-0B00-000006000000}">
      <text>
        <r>
          <rPr>
            <sz val="11"/>
            <rFont val="Calibri"/>
          </rPr>
          <t>The NSX Manager must be configured to synchronize internal information system clocks using redundant authoritative time sources.</t>
        </r>
      </text>
    </comment>
    <comment ref="H360" authorId="0" shapeId="0" xr:uid="{00000000-0006-0000-0B00-000007000000}">
      <text>
        <r>
          <rPr>
            <sz val="11"/>
            <rFont val="Calibri"/>
          </rPr>
          <t>The NSX Manager must configure logging levels for services to ensure audit records are generated.</t>
        </r>
      </text>
    </comment>
    <comment ref="I360" authorId="0" shapeId="0" xr:uid="{00000000-0006-0000-0B00-00000A000000}">
      <text>
        <r>
          <rPr>
            <sz val="11"/>
            <rFont val="Calibri"/>
          </rPr>
          <t>The NSX Manager must be configured to send logs to a central log server.</t>
        </r>
      </text>
    </comment>
    <comment ref="J360" authorId="0" shapeId="0" xr:uid="{00000000-0006-0000-0B00-000008000000}">
      <text>
        <r>
          <rPr>
            <sz val="11"/>
            <rFont val="Calibri"/>
          </rPr>
          <t>The NSX Tier-0 Gateway Firewall must be configured to send traffic log entries to a central log server.</t>
        </r>
      </text>
    </comment>
    <comment ref="K360" authorId="0" shapeId="0" xr:uid="{00000000-0006-0000-0B00-000009000000}">
      <text>
        <r>
          <rPr>
            <sz val="11"/>
            <rFont val="Calibri"/>
          </rPr>
          <t>The NSX Tier-1 Gateway firewall must be configured to send traffic log entries to a central audit server.</t>
        </r>
      </text>
    </comment>
  </commentList>
</comments>
</file>

<file path=xl/sharedStrings.xml><?xml version="1.0" encoding="utf-8"?>
<sst xmlns="http://schemas.openxmlformats.org/spreadsheetml/2006/main" count="11798" uniqueCount="6042">
  <si>
    <t>Id</t>
  </si>
  <si>
    <t>Title</t>
  </si>
  <si>
    <t>Severity</t>
  </si>
  <si>
    <t>Component</t>
  </si>
  <si>
    <t>MoSCoW</t>
  </si>
  <si>
    <t>OpsImpact</t>
  </si>
  <si>
    <t>Phase</t>
  </si>
  <si>
    <t>ImplStatus</t>
  </si>
  <si>
    <t>Notes</t>
  </si>
  <si>
    <t>Remediation</t>
  </si>
  <si>
    <t>Description</t>
  </si>
  <si>
    <t>Audit</t>
  </si>
  <si>
    <t>Status</t>
  </si>
  <si>
    <t>LogID</t>
  </si>
  <si>
    <t>V-265289</t>
  </si>
  <si>
    <r>
      <rPr>
        <sz val="11"/>
        <rFont val="Calibri"/>
      </rPr>
      <t>The NSX Manager must configure logging levels for services to ensure audit records are generated.</t>
    </r>
  </si>
  <si>
    <t>CAT II (Medium)</t>
  </si>
  <si>
    <t>Manager NDM</t>
  </si>
  <si>
    <t>Unassigned</t>
  </si>
  <si>
    <t>Unassessed</t>
  </si>
  <si>
    <t>Pending</t>
  </si>
  <si>
    <t/>
  </si>
  <si>
    <r>
      <rPr>
        <sz val="11"/>
        <color rgb="FF000000"/>
        <rFont val="Calibri"/>
      </rPr>
      <t>From an NSX Manager shell, run the following commands:</t>
    </r>
    <r>
      <rPr>
        <sz val="11"/>
        <color rgb="FF000000"/>
        <rFont val="Calibri"/>
      </rPr>
      <t xml:space="preserve">
</t>
    </r>
    <r>
      <rPr>
        <sz val="11"/>
        <color rgb="FF000000"/>
        <rFont val="Calibri"/>
      </rPr>
      <t>&gt; set service async_replicator logging-level info</t>
    </r>
    <r>
      <rPr>
        <sz val="11"/>
        <color rgb="FF000000"/>
        <rFont val="Calibri"/>
      </rPr>
      <t xml:space="preserve">
</t>
    </r>
    <r>
      <rPr>
        <sz val="11"/>
        <color rgb="FF000000"/>
        <rFont val="Calibri"/>
      </rPr>
      <t>&gt; set service auth logging-level info</t>
    </r>
    <r>
      <rPr>
        <sz val="11"/>
        <color rgb="FF000000"/>
        <rFont val="Calibri"/>
      </rPr>
      <t xml:space="preserve">
</t>
    </r>
    <r>
      <rPr>
        <sz val="11"/>
        <color rgb="FF000000"/>
        <rFont val="Calibri"/>
      </rPr>
      <t>&gt; set service http logging-level info</t>
    </r>
    <r>
      <rPr>
        <sz val="11"/>
        <color rgb="FF000000"/>
        <rFont val="Calibri"/>
      </rPr>
      <t xml:space="preserve">
</t>
    </r>
    <r>
      <rPr>
        <sz val="11"/>
        <color rgb="FF000000"/>
        <rFont val="Calibri"/>
      </rPr>
      <t>&gt; set service manager logging-level info</t>
    </r>
    <r>
      <rPr>
        <sz val="11"/>
        <color rgb="FF000000"/>
        <rFont val="Calibri"/>
      </rPr>
      <t xml:space="preserve">
</t>
    </r>
    <r>
      <rPr>
        <sz val="11"/>
        <color rgb="FF000000"/>
        <rFont val="Calibri"/>
      </rPr>
      <t>&gt; set service telemetry logging-level info</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</si>
  <si>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r>
      <rPr>
        <sz val="11"/>
        <color rgb="FF000000"/>
        <rFont val="Calibri"/>
      </rPr>
      <t xml:space="preserve">
</t>
    </r>
    <r>
      <rPr>
        <sz val="11"/>
        <color rgb="FF000000"/>
        <rFont val="Calibri"/>
      </rPr>
      <t>Satisfies: SRG-APP-000027-NDM-000209, SRG-APP-000495-NDM-000318, SRG-APP-000499-NDM-000319, SRG-APP-000503-NDM-000320, SRG-APP-000504-NDM-000321, SRG-APP-000505-NDM-000322, SRG-APP-000506-NDM-000323, SRG-APP-000516-NDM-000334</t>
    </r>
  </si>
  <si>
    <r>
      <rPr>
        <sz val="11"/>
        <color rgb="FF000000"/>
        <rFont val="Calibri"/>
      </rPr>
      <t>From an NSX Manager shell, run the following commands:</t>
    </r>
    <r>
      <rPr>
        <sz val="11"/>
        <color rgb="FF000000"/>
        <rFont val="Calibri"/>
      </rPr>
      <t xml:space="preserve">
</t>
    </r>
    <r>
      <rPr>
        <sz val="11"/>
        <color rgb="FF000000"/>
        <rFont val="Calibri"/>
      </rPr>
      <t>&gt; get service async_replicator | find Logging</t>
    </r>
    <r>
      <rPr>
        <sz val="11"/>
        <color rgb="FF000000"/>
        <rFont val="Calibri"/>
      </rPr>
      <t xml:space="preserve">
</t>
    </r>
    <r>
      <rPr>
        <sz val="11"/>
        <color rgb="FF000000"/>
        <rFont val="Calibri"/>
      </rPr>
      <t>&gt; get service auth | find Logging</t>
    </r>
    <r>
      <rPr>
        <sz val="11"/>
        <color rgb="FF000000"/>
        <rFont val="Calibri"/>
      </rPr>
      <t xml:space="preserve">
</t>
    </r>
    <r>
      <rPr>
        <sz val="11"/>
        <color rgb="FF000000"/>
        <rFont val="Calibri"/>
      </rPr>
      <t>&gt; get service http | find Logging</t>
    </r>
    <r>
      <rPr>
        <sz val="11"/>
        <color rgb="FF000000"/>
        <rFont val="Calibri"/>
      </rPr>
      <t xml:space="preserve">
</t>
    </r>
    <r>
      <rPr>
        <sz val="11"/>
        <color rgb="FF000000"/>
        <rFont val="Calibri"/>
      </rPr>
      <t>&gt; get service manager | find Logging</t>
    </r>
    <r>
      <rPr>
        <sz val="11"/>
        <color rgb="FF000000"/>
        <rFont val="Calibri"/>
      </rPr>
      <t xml:space="preserve">
</t>
    </r>
    <r>
      <rPr>
        <sz val="11"/>
        <color rgb="FF000000"/>
        <rFont val="Calibri"/>
      </rPr>
      <t>&gt; get service telemetry | find Logging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Logging level: info</t>
    </r>
    <r>
      <rPr>
        <sz val="11"/>
        <color rgb="FF000000"/>
        <rFont val="Calibri"/>
      </rPr>
      <t xml:space="preserve">
</t>
    </r>
    <r>
      <rPr>
        <sz val="11"/>
        <color rgb="FF000000"/>
        <rFont val="Calibri"/>
      </rPr>
      <t>If any service listed does not have logging level configured to "info", this is a finding.</t>
    </r>
  </si>
  <si>
    <t>V-265292</t>
  </si>
  <si>
    <r>
      <rPr>
        <sz val="11"/>
        <rFont val="Calibri"/>
      </rPr>
      <t>The NSX Manager must assign users/accounts to organization-defined roles configured with approved authorizations.</t>
    </r>
  </si>
  <si>
    <t>CAT I (High)</t>
  </si>
  <si>
    <r>
      <rPr>
        <sz val="11"/>
        <color rgb="FF000000"/>
        <rFont val="Calibri"/>
      </rPr>
      <t>To create a new role with reduced permissions, do the following:</t>
    </r>
    <r>
      <rPr>
        <sz val="11"/>
        <color rgb="FF000000"/>
        <rFont val="Calibri"/>
      </rPr>
      <t xml:space="preserve">
</t>
    </r>
    <r>
      <rPr>
        <sz val="11"/>
        <color rgb="FF000000"/>
        <rFont val="Calibri"/>
      </rPr>
      <t>From the NSX Manager web interface, go to System &gt;&gt; Settings &gt;&gt; User Management &gt;&gt; Roles.</t>
    </r>
    <r>
      <rPr>
        <sz val="11"/>
        <color rgb="FF000000"/>
        <rFont val="Calibri"/>
      </rPr>
      <t xml:space="preserve">
</t>
    </r>
    <r>
      <rPr>
        <sz val="11"/>
        <color rgb="FF000000"/>
        <rFont val="Calibri"/>
      </rPr>
      <t>Click "Add Role", provide a name and the required permissions, and then click "Save".</t>
    </r>
    <r>
      <rPr>
        <sz val="11"/>
        <color rgb="FF000000"/>
        <rFont val="Calibri"/>
      </rPr>
      <t xml:space="preserve">
</t>
    </r>
    <r>
      <rPr>
        <sz val="11"/>
        <color rgb="FF000000"/>
        <rFont val="Calibri"/>
      </rPr>
      <t>To update user or group permissions to an existing role with reduced permissions, do the following:</t>
    </r>
    <r>
      <rPr>
        <sz val="11"/>
        <color rgb="FF000000"/>
        <rFont val="Calibri"/>
      </rPr>
      <t xml:space="preserve">
</t>
    </r>
    <r>
      <rPr>
        <sz val="11"/>
        <color rgb="FF000000"/>
        <rFont val="Calibri"/>
      </rPr>
      <t>From the NSX Manager web interface, go to System &gt;&gt; User Management &gt;&gt; User Role Assignment.</t>
    </r>
    <r>
      <rPr>
        <sz val="11"/>
        <color rgb="FF000000"/>
        <rFont val="Calibri"/>
      </rPr>
      <t xml:space="preserve">
</t>
    </r>
    <r>
      <rPr>
        <sz val="11"/>
        <color rgb="FF000000"/>
        <rFont val="Calibri"/>
      </rPr>
      <t>Click the menu dropdown next to the target user or group and select "Edit".</t>
    </r>
    <r>
      <rPr>
        <sz val="11"/>
        <color rgb="FF000000"/>
        <rFont val="Calibri"/>
      </rPr>
      <t xml:space="preserve">
</t>
    </r>
    <r>
      <rPr>
        <sz val="11"/>
        <color rgb="FF000000"/>
        <rFont val="Calibri"/>
      </rPr>
      <t>Remove the existing role, select the new one, and then click "Save".</t>
    </r>
  </si>
  <si>
    <r>
      <rPr>
        <sz val="11"/>
        <color rgb="FF000000"/>
        <rFont val="Calibri"/>
      </rPr>
      <t>The lack of authorization-based access control could result in the immediate compromise and unauthorized access to sensitive information. Users must be assigned to roles which are configured with approved authorizations and access permissions. The NSX Manager must be configured granularly based on organization requirements to only allow authorized administrators to execute privileged functions. Role assignments should control which administrators can view or change the device configuration, system files, and locally stored audit information.</t>
    </r>
    <r>
      <rPr>
        <sz val="11"/>
        <color rgb="FF000000"/>
        <rFont val="Calibri"/>
      </rPr>
      <t xml:space="preserve">
</t>
    </r>
    <r>
      <rPr>
        <sz val="11"/>
        <color rgb="FF000000"/>
        <rFont val="Calibri"/>
      </rPr>
      <t>Satisfies: SRG-APP-000033-NDM-000212, SRG-APP-000038-NDM-000213, SRG-APP-000119-NDM-000236, SRG-APP-000120-NDM-000237, SRG-APP-000133-NDM-000244, SRG-APP-000231-NDM-000271, SRG-APP-000329-NDM-000287, SRG-APP-000340-NDM-000288, SRG-APP-000378-NDM-000302, SRG-APP-000380-NDM-000304, SRG-APP-000408-NDM-000314, SRG-APP-000516-NDM-000335</t>
    </r>
  </si>
  <si>
    <r>
      <rPr>
        <sz val="11"/>
        <color rgb="FF000000"/>
        <rFont val="Calibri"/>
      </rPr>
      <t>From the NSX Manager web interface, go to System &gt;&gt; Settings &gt;&gt; User Management &gt;&gt; User Role Assignment.</t>
    </r>
    <r>
      <rPr>
        <sz val="11"/>
        <color rgb="FF000000"/>
        <rFont val="Calibri"/>
      </rPr>
      <t xml:space="preserve">
</t>
    </r>
    <r>
      <rPr>
        <sz val="11"/>
        <color rgb="FF000000"/>
        <rFont val="Calibri"/>
      </rPr>
      <t>View each user and group and verify the role assigned has authorization limits as appropriate to the role and in accordance with the site's documentation.</t>
    </r>
    <r>
      <rPr>
        <sz val="11"/>
        <color rgb="FF000000"/>
        <rFont val="Calibri"/>
      </rPr>
      <t xml:space="preserve">
</t>
    </r>
    <r>
      <rPr>
        <sz val="11"/>
        <color rgb="FF000000"/>
        <rFont val="Calibri"/>
      </rPr>
      <t>If any user/group or service account are assigned to roles with privileges that are beyond those required and authorized by the organization, this is a finding.</t>
    </r>
  </si>
  <si>
    <t>V-265293</t>
  </si>
  <si>
    <r>
      <rPr>
        <sz val="11"/>
        <rFont val="Calibri"/>
      </rPr>
      <t>The NSX Manager must be configured to enforce the limit of three consecutive invalid logon attempts, after which time it must block any login attempt for 15 minutes.</t>
    </r>
  </si>
  <si>
    <r>
      <rPr>
        <sz val="11"/>
        <color rgb="FF000000"/>
        <rFont val="Calibri"/>
      </rPr>
      <t>From an NSX Manager shell, run the following commands:</t>
    </r>
    <r>
      <rPr>
        <sz val="11"/>
        <color rgb="FF000000"/>
        <rFont val="Calibri"/>
      </rPr>
      <t xml:space="preserve">
</t>
    </r>
    <r>
      <rPr>
        <sz val="11"/>
        <color rgb="FF000000"/>
        <rFont val="Calibri"/>
      </rPr>
      <t>&gt; set auth-policy api lockout-reset-period 900</t>
    </r>
    <r>
      <rPr>
        <sz val="11"/>
        <color rgb="FF000000"/>
        <rFont val="Calibri"/>
      </rPr>
      <t xml:space="preserve">
</t>
    </r>
    <r>
      <rPr>
        <sz val="11"/>
        <color rgb="FF000000"/>
        <rFont val="Calibri"/>
      </rPr>
      <t>&gt; set auth-policy api lockout-period 900</t>
    </r>
    <r>
      <rPr>
        <sz val="11"/>
        <color rgb="FF000000"/>
        <rFont val="Calibri"/>
      </rPr>
      <t xml:space="preserve">
</t>
    </r>
    <r>
      <rPr>
        <sz val="11"/>
        <color rgb="FF000000"/>
        <rFont val="Calibri"/>
      </rPr>
      <t>&gt; set auth-policy api max-auth-failures 3</t>
    </r>
    <r>
      <rPr>
        <sz val="11"/>
        <color rgb="FF000000"/>
        <rFont val="Calibri"/>
      </rPr>
      <t xml:space="preserve">
</t>
    </r>
    <r>
      <rPr>
        <sz val="11"/>
        <color rgb="FF000000"/>
        <rFont val="Calibri"/>
      </rPr>
      <t>&gt; set auth-policy cli lockout-period 900</t>
    </r>
    <r>
      <rPr>
        <sz val="11"/>
        <color rgb="FF000000"/>
        <rFont val="Calibri"/>
      </rPr>
      <t xml:space="preserve">
</t>
    </r>
    <r>
      <rPr>
        <sz val="11"/>
        <color rgb="FF000000"/>
        <rFont val="Calibri"/>
      </rPr>
      <t>&gt; set auth-policy cli max-auth-failures 3</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</si>
  <si>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</si>
  <si>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From an NSX Manager shell, run the following commands:</t>
    </r>
    <r>
      <rPr>
        <sz val="11"/>
        <color rgb="FF000000"/>
        <rFont val="Calibri"/>
      </rPr>
      <t xml:space="preserve">
</t>
    </r>
    <r>
      <rPr>
        <sz val="11"/>
        <color rgb="FF000000"/>
        <rFont val="Calibri"/>
      </rPr>
      <t>&gt; get auth-policy api lockout-reset-period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900 seconds</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&gt; get auth-policy api lockout-period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900 seconds</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&gt; get auth-policy api max-auth-failures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3</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&gt; get auth-policy cli lockout-period</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900 seconds</t>
    </r>
    <r>
      <rPr>
        <sz val="11"/>
        <color rgb="FF000000"/>
        <rFont val="Calibri"/>
      </rPr>
      <t xml:space="preserve">
</t>
    </r>
    <r>
      <rPr>
        <sz val="11"/>
        <color rgb="FF000000"/>
        <rFont val="Calibri"/>
      </rPr>
      <t>If the output does not match the expected result, this is a finding.</t>
    </r>
    <r>
      <rPr>
        <sz val="11"/>
        <color rgb="FF000000"/>
        <rFont val="Calibri"/>
      </rPr>
      <t xml:space="preserve">
</t>
    </r>
    <r>
      <rPr>
        <sz val="11"/>
        <color rgb="FF000000"/>
        <rFont val="Calibri"/>
      </rPr>
      <t>&gt; get auth-policy cli max-auth-failures</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3</t>
    </r>
    <r>
      <rPr>
        <sz val="11"/>
        <color rgb="FF000000"/>
        <rFont val="Calibri"/>
      </rPr>
      <t xml:space="preserve">
</t>
    </r>
    <r>
      <rPr>
        <sz val="11"/>
        <color rgb="FF000000"/>
        <rFont val="Calibri"/>
      </rPr>
      <t>If the output does not match the expected result, this is a finding.</t>
    </r>
  </si>
  <si>
    <t>V-265294</t>
  </si>
  <si>
    <r>
      <rPr>
        <sz val="11"/>
        <rFont val="Calibri"/>
      </rPr>
      <t>The NSX Manager must display the Standard Mandatory DOD Notice and Consent Banner before granting access.</t>
    </r>
  </si>
  <si>
    <r>
      <rPr>
        <sz val="11"/>
        <color rgb="FF000000"/>
        <rFont val="Calibri"/>
      </rPr>
      <t>From the NSX Manager web interface, go to System &gt;&gt; Settings &gt;&gt; General Settings &gt;&gt; User Interface.</t>
    </r>
    <r>
      <rPr>
        <sz val="11"/>
        <color rgb="FF000000"/>
        <rFont val="Calibri"/>
      </rPr>
      <t xml:space="preserve">
</t>
    </r>
    <r>
      <rPr>
        <sz val="11"/>
        <color rgb="FF000000"/>
        <rFont val="Calibri"/>
      </rPr>
      <t>Under Login Consent Settings click "Edit".</t>
    </r>
    <r>
      <rPr>
        <sz val="11"/>
        <color rgb="FF000000"/>
        <rFont val="Calibri"/>
      </rPr>
      <t xml:space="preserve">
</t>
    </r>
    <r>
      <rPr>
        <sz val="11"/>
        <color rgb="FF000000"/>
        <rFont val="Calibri"/>
      </rPr>
      <t>Enter the banner language in the "Consent Message Description" text box, formatted in accordance with DTM-08-060, and click "Save".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</si>
  <si>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</si>
  <si>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Determine if the network device is configured to present a DOD-approved banner that is formatted in accordance with DTM-08-060.</t>
    </r>
    <r>
      <rPr>
        <sz val="11"/>
        <color rgb="FF000000"/>
        <rFont val="Calibri"/>
      </rPr>
      <t xml:space="preserve">
</t>
    </r>
    <r>
      <rPr>
        <sz val="11"/>
        <color rgb="FF000000"/>
        <rFont val="Calibri"/>
      </rPr>
      <t>From the NSX Manager web interface, go to System &gt;&gt; Settings &gt;&gt; General Settings &gt;&gt; User Interface.</t>
    </r>
    <r>
      <rPr>
        <sz val="11"/>
        <color rgb="FF000000"/>
        <rFont val="Calibri"/>
      </rPr>
      <t xml:space="preserve">
</t>
    </r>
    <r>
      <rPr>
        <sz val="11"/>
        <color rgb="FF000000"/>
        <rFont val="Calibri"/>
      </rPr>
      <t>Review the Login Consent Settings.</t>
    </r>
    <r>
      <rPr>
        <sz val="11"/>
        <color rgb="FF000000"/>
        <rFont val="Calibri"/>
      </rPr>
      <t xml:space="preserve">
</t>
    </r>
    <r>
      <rPr>
        <sz val="11"/>
        <color rgb="FF000000"/>
        <rFont val="Calibri"/>
      </rPr>
      <t>If the "Consent Message Description" does not contain the Standard Mandatory DOD Notice and Consent Banner verbiage, this is a finding.</t>
    </r>
    <r>
      <rPr>
        <sz val="11"/>
        <color rgb="FF000000"/>
        <rFont val="Calibri"/>
      </rPr>
      <t xml:space="preserve">
</t>
    </r>
    <r>
      <rPr>
        <sz val="11"/>
        <color rgb="FF000000"/>
        <rFont val="Calibri"/>
      </rPr>
      <t>The Standard Mandatory DOD Notice and Consent Banner verbiage is as follows: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</si>
  <si>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V-265295</t>
  </si>
  <si>
    <r>
      <rPr>
        <sz val="11"/>
        <rFont val="Calibri"/>
      </rPr>
      <t>The NSX Manager must retain the Standard Mandatory DOD Notice and Consent Banner on the screen until the administrator acknowledges the usage conditions and takes explicit actions to log on for further access.</t>
    </r>
  </si>
  <si>
    <r>
      <rPr>
        <sz val="11"/>
        <color rgb="FF000000"/>
        <rFont val="Calibri"/>
      </rPr>
      <t>From the NSX Manager web interface, go to System &gt;&gt; Settings &gt;&gt; General Settings &gt;&gt; User Interface.</t>
    </r>
    <r>
      <rPr>
        <sz val="11"/>
        <color rgb="FF000000"/>
        <rFont val="Calibri"/>
      </rPr>
      <t xml:space="preserve">
</t>
    </r>
    <r>
      <rPr>
        <sz val="11"/>
        <color rgb="FF000000"/>
        <rFont val="Calibri"/>
      </rPr>
      <t>Under Login Consent Settings, click "Edit".</t>
    </r>
    <r>
      <rPr>
        <sz val="11"/>
        <color rgb="FF000000"/>
        <rFont val="Calibri"/>
      </rPr>
      <t xml:space="preserve">
</t>
    </r>
    <r>
      <rPr>
        <sz val="11"/>
        <color rgb="FF000000"/>
        <rFont val="Calibri"/>
      </rPr>
      <t>Toggle "Login Consent" to On.</t>
    </r>
    <r>
      <rPr>
        <sz val="11"/>
        <color rgb="FF000000"/>
        <rFont val="Calibri"/>
      </rPr>
      <t xml:space="preserve">
</t>
    </r>
    <r>
      <rPr>
        <sz val="11"/>
        <color rgb="FF000000"/>
        <rFont val="Calibri"/>
      </rPr>
      <t>Toggle "Require Explicit User Consent" to Yes.</t>
    </r>
    <r>
      <rPr>
        <sz val="11"/>
        <color rgb="FF000000"/>
        <rFont val="Calibri"/>
      </rPr>
      <t xml:space="preserve">
</t>
    </r>
    <r>
      <rPr>
        <sz val="11"/>
        <color rgb="FF000000"/>
        <rFont val="Calibri"/>
      </rPr>
      <t>Note: The banner text is also entered; however, that is covered by NMGR-4X-000013.</t>
    </r>
  </si>
  <si>
    <r>
      <rPr>
        <sz val="11"/>
        <color rgb="FF000000"/>
        <rFont val="Calibri"/>
      </rPr>
      <t>The banner must be acknowledged by the administrator prior to the device allowing the administrator access to the network device. This provides assurance that the administrator has seen the message and accepted the conditions for access. If the consent banner is not acknowledged by the administrator, DOD will not be in compliance with system use notifications required by law.</t>
    </r>
    <r>
      <rPr>
        <sz val="11"/>
        <color rgb="FF000000"/>
        <rFont val="Calibri"/>
      </rPr>
      <t xml:space="preserve">
</t>
    </r>
    <r>
      <rPr>
        <sz val="11"/>
        <color rgb="FF000000"/>
        <rFont val="Calibri"/>
      </rPr>
      <t>To establish acceptance of the network administration policy, a click-through banner at management session logon is required. The device must prevent further activity until the administrator executes a positive action to manifest agreement.</t>
    </r>
    <r>
      <rPr>
        <sz val="11"/>
        <color rgb="FF000000"/>
        <rFont val="Calibri"/>
      </rPr>
      <t xml:space="preserve">
</t>
    </r>
    <r>
      <rPr>
        <sz val="11"/>
        <color rgb="FF000000"/>
        <rFont val="Calibri"/>
      </rPr>
      <t>In the case of CLI access using a terminal client, entering the username and password when the banner is presented is considered an explicit action of acknowledgement. Entering the username, viewing the banner, then entering the password is also acceptable.</t>
    </r>
  </si>
  <si>
    <r>
      <rPr>
        <sz val="11"/>
        <color rgb="FF000000"/>
        <rFont val="Calibri"/>
      </rPr>
      <t>From the NSX Manager web interface, go to System &gt;&gt; Settings &gt;&gt; General Settings &gt;&gt; User Interface.</t>
    </r>
    <r>
      <rPr>
        <sz val="11"/>
        <color rgb="FF000000"/>
        <rFont val="Calibri"/>
      </rPr>
      <t xml:space="preserve">
</t>
    </r>
    <r>
      <rPr>
        <sz val="11"/>
        <color rgb="FF000000"/>
        <rFont val="Calibri"/>
      </rPr>
      <t>Review the Login Consent Settings.</t>
    </r>
    <r>
      <rPr>
        <sz val="11"/>
        <color rgb="FF000000"/>
        <rFont val="Calibri"/>
      </rPr>
      <t xml:space="preserve">
</t>
    </r>
    <r>
      <rPr>
        <sz val="11"/>
        <color rgb="FF000000"/>
        <rFont val="Calibri"/>
      </rPr>
      <t>Verify "Login Consent" is not On.</t>
    </r>
    <r>
      <rPr>
        <sz val="11"/>
        <color rgb="FF000000"/>
        <rFont val="Calibri"/>
      </rPr>
      <t xml:space="preserve">
</t>
    </r>
    <r>
      <rPr>
        <sz val="11"/>
        <color rgb="FF000000"/>
        <rFont val="Calibri"/>
      </rPr>
      <t>Verify "Require Explicit User Consent" is set to Yes.</t>
    </r>
    <r>
      <rPr>
        <sz val="11"/>
        <color rgb="FF000000"/>
        <rFont val="Calibri"/>
      </rPr>
      <t xml:space="preserve">
</t>
    </r>
    <r>
      <rPr>
        <sz val="11"/>
        <color rgb="FF000000"/>
        <rFont val="Calibri"/>
      </rPr>
      <t>If the Standard Mandatory DOD Notice and Consent Banner is not retained on the screen until the administrator acknowledges the usage conditions and takes explicit actions to log on for further access, this is a finding.</t>
    </r>
  </si>
  <si>
    <t>V-265296</t>
  </si>
  <si>
    <r>
      <rPr>
        <sz val="11"/>
        <rFont val="Calibri"/>
      </rPr>
      <t>The NSX Manager must be configured to integrate with an identity provider that supports multifactor authentication (MFA).</t>
    </r>
  </si>
  <si>
    <r>
      <rPr>
        <sz val="11"/>
        <color rgb="FF000000"/>
        <rFont val="Calibri"/>
      </rPr>
      <t>To configure NSX to integrate with VMware Identity Manager or Workspace ONE Access, as the authentication source, do the following:</t>
    </r>
    <r>
      <rPr>
        <sz val="11"/>
        <color rgb="FF000000"/>
        <rFont val="Calibri"/>
      </rPr>
      <t xml:space="preserve">
</t>
    </r>
    <r>
      <rPr>
        <sz val="11"/>
        <color rgb="FF000000"/>
        <rFont val="Calibri"/>
      </rPr>
      <t>From the NSX Manager web interface, go to System &gt;&gt; Users and Roles &gt;&gt; VMware Identity Manager and click "Edit".</t>
    </r>
    <r>
      <rPr>
        <sz val="11"/>
        <color rgb="FF000000"/>
        <rFont val="Calibri"/>
      </rPr>
      <t xml:space="preserve">
</t>
    </r>
    <r>
      <rPr>
        <sz val="11"/>
        <color rgb="FF000000"/>
        <rFont val="Calibri"/>
      </rPr>
      <t>If using an external load balancer for the NSX Management cluster, enable "External Load Balancer Integration". If using a cluster VIP, leave this disabled.</t>
    </r>
    <r>
      <rPr>
        <sz val="11"/>
        <color rgb="FF000000"/>
        <rFont val="Calibri"/>
      </rPr>
      <t xml:space="preserve">
</t>
    </r>
    <r>
      <rPr>
        <sz val="11"/>
        <color rgb="FF000000"/>
        <rFont val="Calibri"/>
      </rPr>
      <t>Click the toggle button to enable "VMware Identity Manager Integration".</t>
    </r>
    <r>
      <rPr>
        <sz val="11"/>
        <color rgb="FF000000"/>
        <rFont val="Calibri"/>
      </rPr>
      <t xml:space="preserve">
</t>
    </r>
    <r>
      <rPr>
        <sz val="11"/>
        <color rgb="FF000000"/>
        <rFont val="Calibri"/>
      </rPr>
      <t>Enter the VMware Identity Manager or Workspace ONE Access appliance name, OAuth Client ID, OAuth Client Secret, and certificate thumbprint as provided by the administrators.</t>
    </r>
    <r>
      <rPr>
        <sz val="11"/>
        <color rgb="FF000000"/>
        <rFont val="Calibri"/>
      </rPr>
      <t xml:space="preserve">
</t>
    </r>
    <r>
      <rPr>
        <sz val="11"/>
        <color rgb="FF000000"/>
        <rFont val="Calibri"/>
      </rPr>
      <t>Enter the NSX Appliance FQDN. For a cluster, enter the load balancer FQDN or cluster VIP FQDN.</t>
    </r>
    <r>
      <rPr>
        <sz val="11"/>
        <color rgb="FF000000"/>
        <rFont val="Calibri"/>
      </rPr>
      <t xml:space="preserve">
</t>
    </r>
    <r>
      <rPr>
        <sz val="11"/>
        <color rgb="FF000000"/>
        <rFont val="Calibri"/>
      </rPr>
      <t>Click "Save", import users and groups, and then assign them roles. (The users are not actually local and remain in the authentication/AAA server.)</t>
    </r>
    <r>
      <rPr>
        <sz val="11"/>
        <color rgb="FF000000"/>
        <rFont val="Calibri"/>
      </rPr>
      <t xml:space="preserve">
</t>
    </r>
    <r>
      <rPr>
        <sz val="11"/>
        <color rgb="FF000000"/>
        <rFont val="Calibri"/>
      </rPr>
      <t>Note: As of NSX 4.1 and vCenter 8.0 Update 2, NSX Manager administrator access can also be configured by connecting VMware NSX to the Workspace ONE Access Broker in VMware vCenter for federated identity. Refer to the NSX product documentation to configure this access option.</t>
    </r>
    <r>
      <rPr>
        <sz val="11"/>
        <color rgb="FF000000"/>
        <rFont val="Calibri"/>
      </rPr>
      <t xml:space="preserve">
</t>
    </r>
    <r>
      <rPr>
        <sz val="11"/>
        <color rgb="FF000000"/>
        <rFont val="Calibri"/>
      </rPr>
      <t>Ensure the identity provider administrators have configured the provider to support multi-factor authentication.</t>
    </r>
  </si>
  <si>
    <r>
      <rPr>
        <sz val="11"/>
        <color rgb="FF000000"/>
        <rFont val="Calibri"/>
      </rPr>
      <t>Common attacks against single-factor authentication are attacks on user passwords. These attacks include brute force password guessing, password spraying, and password credential stuffing. This requirement also supports nonrepudiation of actions taken by an administrator.</t>
    </r>
    <r>
      <rPr>
        <sz val="11"/>
        <color rgb="FF000000"/>
        <rFont val="Calibri"/>
      </rPr>
      <t xml:space="preserve">
</t>
    </r>
    <r>
      <rPr>
        <sz val="11"/>
        <color rgb="FF000000"/>
        <rFont val="Calibri"/>
      </rPr>
      <t>This requirement ensures the NSX Manager is configured to use a centralized authentication services to authenticate users prior to granting administrative access.</t>
    </r>
    <r>
      <rPr>
        <sz val="11"/>
        <color rgb="FF000000"/>
        <rFont val="Calibri"/>
      </rPr>
      <t xml:space="preserve">
</t>
    </r>
    <r>
      <rPr>
        <sz val="11"/>
        <color rgb="FF000000"/>
        <rFont val="Calibri"/>
      </rPr>
      <t>As of NSX 4.1 and vCenter 8.0 Update 2, NSX Manager administrator access can also be configured by connecting VMware NSX to the Workspace ONE Access Broker in VMware vCenter for federated identity. Refer to the NSX product documentation to configure this access option.</t>
    </r>
    <r>
      <rPr>
        <sz val="11"/>
        <color rgb="FF000000"/>
        <rFont val="Calibri"/>
      </rPr>
      <t xml:space="preserve">
</t>
    </r>
    <r>
      <rPr>
        <sz val="11"/>
        <color rgb="FF000000"/>
        <rFont val="Calibri"/>
      </rPr>
      <t>Satisfies: SRG-APP-000080-NDM-000220, SRG-APP-000149-NDM-000247, SRG-APP-000516-NDM-000336</t>
    </r>
  </si>
  <si>
    <r>
      <rPr>
        <sz val="11"/>
        <color rgb="FF000000"/>
        <rFont val="Calibri"/>
      </rPr>
      <t>From the NSX Manager web interface, go to System &gt;&gt; Settings &gt;&gt; Users Management &gt;&gt; Authentication Providers.</t>
    </r>
    <r>
      <rPr>
        <sz val="11"/>
        <color rgb="FF000000"/>
        <rFont val="Calibri"/>
      </rPr>
      <t xml:space="preserve">
</t>
    </r>
    <r>
      <rPr>
        <sz val="11"/>
        <color rgb="FF000000"/>
        <rFont val="Calibri"/>
      </rPr>
      <t>Verify that the "VMware Identity Manager" and "OpenID Connect" tabs are configured.</t>
    </r>
    <r>
      <rPr>
        <sz val="11"/>
        <color rgb="FF000000"/>
        <rFont val="Calibri"/>
      </rPr>
      <t xml:space="preserve">
</t>
    </r>
    <r>
      <rPr>
        <sz val="11"/>
        <color rgb="FF000000"/>
        <rFont val="Calibri"/>
      </rPr>
      <t>If NSX is not configured to integrate with an identity provider that supports MFA, this is a finding.</t>
    </r>
  </si>
  <si>
    <t>V-265313</t>
  </si>
  <si>
    <r>
      <rPr>
        <sz val="11"/>
        <rFont val="Calibri"/>
      </rPr>
      <t>The NSX Manager must be configured with only one local account to be used as the account of last resort in the event the authentication server is unavailable.</t>
    </r>
  </si>
  <si>
    <r>
      <rPr>
        <sz val="11"/>
        <color rgb="FF000000"/>
        <rFont val="Calibri"/>
      </rPr>
      <t>From the NSX Manager web interface, go to the System &gt;&gt; Settings &gt;&gt; User Management &gt;&gt; Local Users.</t>
    </r>
    <r>
      <rPr>
        <sz val="11"/>
        <color rgb="FF000000"/>
        <rFont val="Calibri"/>
      </rPr>
      <t xml:space="preserve">
</t>
    </r>
    <r>
      <rPr>
        <sz val="11"/>
        <color rgb="FF000000"/>
        <rFont val="Calibri"/>
      </rPr>
      <t>Select the menu drop down next to any local user on the list except for the "admin" account. Click modify and click "Deactivate User".</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</si>
  <si>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 Administrators should secure the credentials and disable the root account (if possible) when not needed for system administration functions.</t>
    </r>
  </si>
  <si>
    <r>
      <rPr>
        <sz val="11"/>
        <color rgb="FF000000"/>
        <rFont val="Calibri"/>
      </rPr>
      <t>From the NSX Manager web interface, go to the System &gt;&gt; Settings &gt;&gt; User Management &gt;&gt; Local Users and view the status column.</t>
    </r>
    <r>
      <rPr>
        <sz val="11"/>
        <color rgb="FF000000"/>
        <rFont val="Calibri"/>
      </rPr>
      <t xml:space="preserve">
</t>
    </r>
    <r>
      <rPr>
        <sz val="11"/>
        <color rgb="FF000000"/>
        <rFont val="Calibri"/>
      </rPr>
      <t>If any local account other than the account of last resort are active, this is a finding.</t>
    </r>
  </si>
  <si>
    <t>V-265315</t>
  </si>
  <si>
    <r>
      <rPr>
        <sz val="11"/>
        <rFont val="Calibri"/>
      </rPr>
      <t>The NSX Manager must only enable TLS 1.2 or greater.</t>
    </r>
  </si>
  <si>
    <r>
      <rPr>
        <sz val="11"/>
        <color rgb="FF000000"/>
        <rFont val="Calibri"/>
      </rPr>
      <t>Capture the output from the check GET command and update the TLS 1.1 protocol to false.</t>
    </r>
    <r>
      <rPr>
        <sz val="11"/>
        <color rgb="FF000000"/>
        <rFont val="Calibri"/>
      </rPr>
      <t xml:space="preserve">
</t>
    </r>
    <r>
      <rPr>
        <sz val="11"/>
        <color rgb="FF000000"/>
        <rFont val="Calibri"/>
      </rPr>
      <t>Run the following API call using curl or another REST API client:</t>
    </r>
    <r>
      <rPr>
        <sz val="11"/>
        <color rgb="FF000000"/>
        <rFont val="Calibri"/>
      </rPr>
      <t xml:space="preserve">
</t>
    </r>
    <r>
      <rPr>
        <sz val="11"/>
        <color rgb="FF000000"/>
        <rFont val="Calibri"/>
      </rPr>
      <t>PUT https://&lt;nsx-mgr&gt;/api/v1/cluster/api-service</t>
    </r>
    <r>
      <rPr>
        <sz val="11"/>
        <color rgb="FF000000"/>
        <rFont val="Calibri"/>
      </rPr>
      <t xml:space="preserve">
</t>
    </r>
    <r>
      <rPr>
        <sz val="11"/>
        <color rgb="FF000000"/>
        <rFont val="Calibri"/>
      </rPr>
      <t>Example request body:</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"session_timeout": 1800,</t>
    </r>
    <r>
      <rPr>
        <sz val="11"/>
        <color rgb="FF000000"/>
        <rFont val="Calibri"/>
      </rPr>
      <t xml:space="preserve">
</t>
    </r>
    <r>
      <rPr>
        <sz val="11"/>
        <color rgb="FF000000"/>
        <rFont val="Calibri"/>
      </rPr>
      <t xml:space="preserve">    "connection_timeout": 30,</t>
    </r>
    <r>
      <rPr>
        <sz val="11"/>
        <color rgb="FF000000"/>
        <rFont val="Calibri"/>
      </rPr>
      <t xml:space="preserve">
</t>
    </r>
    <r>
      <rPr>
        <sz val="11"/>
        <color rgb="FF000000"/>
        <rFont val="Calibri"/>
      </rPr>
      <t xml:space="preserve">    "protocol_versions":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"TLSv1.1",</t>
    </r>
    <r>
      <rPr>
        <sz val="11"/>
        <color rgb="FF000000"/>
        <rFont val="Calibri"/>
      </rPr>
      <t xml:space="preserve">
</t>
    </r>
    <r>
      <rPr>
        <sz val="11"/>
        <color rgb="FF000000"/>
        <rFont val="Calibri"/>
      </rPr>
      <t xml:space="preserve">            "enabled": 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"TLSv1.2",</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"TLSv1.3",</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"cipher_suites":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"TLS_ECDHE_RSA_WITH_AES_128_CBC_SHA",</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"TLS_ECDHE_RSA_WITH_AES_128_CBC_SHA256",</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"TLS_ECDHE_RSA_WITH_AES_128_GCM_SHA256",</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"TLS_ECDHE_RSA_WITH_AES_256_CBC_SHA",</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"TLS_ECDHE_RSA_WITH_AES_256_CBC_SHA384",</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"TLS_ECDHE_RSA_WITH_AES_256_GCM_SHA384",</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"TLS_RSA_WITH_AES_128_CBC_SHA",</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"TLS_RSA_WITH_AES_128_CBC_SHA256",</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"TLS_RSA_WITH_AES_128_GCM_SHA256",</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"TLS_RSA_WITH_AES_256_CBC_SHA",</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"TLS_RSA_WITH_AES_256_CBC_SHA256",</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"TLS_RSA_WITH_AES_256_GCM_SHA384",</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"TLS_ECDHE_ECDSA_WITH_AES_256_GCM_SHA384",</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"TLS_AES_128_GCM_SHA256",</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"TLS_AES_256_GCM_SHA384",</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"name": "TLS_CHACHA20_POLY1305_SHA256",</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"redirect_host": "",</t>
    </r>
    <r>
      <rPr>
        <sz val="11"/>
        <color rgb="FF000000"/>
        <rFont val="Calibri"/>
      </rPr>
      <t xml:space="preserve">
</t>
    </r>
    <r>
      <rPr>
        <sz val="11"/>
        <color rgb="FF000000"/>
        <rFont val="Calibri"/>
      </rPr>
      <t xml:space="preserve">    "client_api_rate_limit": 100,</t>
    </r>
    <r>
      <rPr>
        <sz val="11"/>
        <color rgb="FF000000"/>
        <rFont val="Calibri"/>
      </rPr>
      <t xml:space="preserve">
</t>
    </r>
    <r>
      <rPr>
        <sz val="11"/>
        <color rgb="FF000000"/>
        <rFont val="Calibri"/>
      </rPr>
      <t xml:space="preserve">    "global_api_concurrency_limit": 199,</t>
    </r>
    <r>
      <rPr>
        <sz val="11"/>
        <color rgb="FF000000"/>
        <rFont val="Calibri"/>
      </rPr>
      <t xml:space="preserve">
</t>
    </r>
    <r>
      <rPr>
        <sz val="11"/>
        <color rgb="FF000000"/>
        <rFont val="Calibri"/>
      </rPr>
      <t xml:space="preserve">    "client_api_concurrency_limit": 40,</t>
    </r>
    <r>
      <rPr>
        <sz val="11"/>
        <color rgb="FF000000"/>
        <rFont val="Calibri"/>
      </rPr>
      <t xml:space="preserve">
</t>
    </r>
    <r>
      <rPr>
        <sz val="11"/>
        <color rgb="FF000000"/>
        <rFont val="Calibri"/>
      </rPr>
      <t xml:space="preserve">    "basic_authentication_enabled": true,</t>
    </r>
    <r>
      <rPr>
        <sz val="11"/>
        <color rgb="FF000000"/>
        <rFont val="Calibri"/>
      </rPr>
      <t xml:space="preserve">
</t>
    </r>
    <r>
      <rPr>
        <sz val="11"/>
        <color rgb="FF000000"/>
        <rFont val="Calibri"/>
      </rPr>
      <t xml:space="preserve">    "cookie_based_authentication_enabled": true,</t>
    </r>
    <r>
      <rPr>
        <sz val="11"/>
        <color rgb="FF000000"/>
        <rFont val="Calibri"/>
      </rPr>
      <t xml:space="preserve">
</t>
    </r>
    <r>
      <rPr>
        <sz val="11"/>
        <color rgb="FF000000"/>
        <rFont val="Calibri"/>
      </rPr>
      <t xml:space="preserve">    "resource_type": "ApiServiceConfig",</t>
    </r>
    <r>
      <rPr>
        <sz val="11"/>
        <color rgb="FF000000"/>
        <rFont val="Calibri"/>
      </rPr>
      <t xml:space="preserve">
</t>
    </r>
    <r>
      <rPr>
        <sz val="11"/>
        <color rgb="FF000000"/>
        <rFont val="Calibri"/>
      </rPr>
      <t xml:space="preserve">    "id": "reverse_proxy_config",</t>
    </r>
    <r>
      <rPr>
        <sz val="11"/>
        <color rgb="FF000000"/>
        <rFont val="Calibri"/>
      </rPr>
      <t xml:space="preserve">
</t>
    </r>
    <r>
      <rPr>
        <sz val="11"/>
        <color rgb="FF000000"/>
        <rFont val="Calibri"/>
      </rPr>
      <t xml:space="preserve">    "display_name": "reverse_proxy_config",</t>
    </r>
    <r>
      <rPr>
        <sz val="11"/>
        <color rgb="FF000000"/>
        <rFont val="Calibri"/>
      </rPr>
      <t xml:space="preserve">
</t>
    </r>
    <r>
      <rPr>
        <sz val="11"/>
        <color rgb="FF000000"/>
        <rFont val="Calibri"/>
      </rPr>
      <t xml:space="preserve">    "_create_time": 1703175890703,</t>
    </r>
    <r>
      <rPr>
        <sz val="11"/>
        <color rgb="FF000000"/>
        <rFont val="Calibri"/>
      </rPr>
      <t xml:space="preserve">
</t>
    </r>
    <r>
      <rPr>
        <sz val="11"/>
        <color rgb="FF000000"/>
        <rFont val="Calibri"/>
      </rPr>
      <t xml:space="preserve">    "_create_user": "system",</t>
    </r>
    <r>
      <rPr>
        <sz val="11"/>
        <color rgb="FF000000"/>
        <rFont val="Calibri"/>
      </rPr>
      <t xml:space="preserve">
</t>
    </r>
    <r>
      <rPr>
        <sz val="11"/>
        <color rgb="FF000000"/>
        <rFont val="Calibri"/>
      </rPr>
      <t xml:space="preserve">    "_last_modified_time": 1703175890703,</t>
    </r>
    <r>
      <rPr>
        <sz val="11"/>
        <color rgb="FF000000"/>
        <rFont val="Calibri"/>
      </rPr>
      <t xml:space="preserve">
</t>
    </r>
    <r>
      <rPr>
        <sz val="11"/>
        <color rgb="FF000000"/>
        <rFont val="Calibri"/>
      </rPr>
      <t xml:space="preserve">    "_last_modified_user": "system",</t>
    </r>
    <r>
      <rPr>
        <sz val="11"/>
        <color rgb="FF000000"/>
        <rFont val="Calibri"/>
      </rPr>
      <t xml:space="preserve">
</t>
    </r>
    <r>
      <rPr>
        <sz val="11"/>
        <color rgb="FF000000"/>
        <rFont val="Calibri"/>
      </rPr>
      <t xml:space="preserve">    "_system_owned": false,</t>
    </r>
    <r>
      <rPr>
        <sz val="11"/>
        <color rgb="FF000000"/>
        <rFont val="Calibri"/>
      </rPr>
      <t xml:space="preserve">
</t>
    </r>
    <r>
      <rPr>
        <sz val="11"/>
        <color rgb="FF000000"/>
        <rFont val="Calibri"/>
      </rPr>
      <t xml:space="preserve">    "_protection": "NOT_PROTECTED",</t>
    </r>
    <r>
      <rPr>
        <sz val="11"/>
        <color rgb="FF000000"/>
        <rFont val="Calibri"/>
      </rPr>
      <t xml:space="preserve">
</t>
    </r>
    <r>
      <rPr>
        <sz val="11"/>
        <color rgb="FF000000"/>
        <rFont val="Calibri"/>
      </rPr>
      <t xml:space="preserve">    "_revision": 0</t>
    </r>
    <r>
      <rPr>
        <sz val="11"/>
        <color rgb="FF000000"/>
        <rFont val="Calibri"/>
      </rPr>
      <t xml:space="preserve">
</t>
    </r>
    <r>
      <rPr>
        <sz val="11"/>
        <color rgb="FF000000"/>
        <rFont val="Calibri"/>
      </rPr>
      <t>}</t>
    </r>
    <r>
      <rPr>
        <sz val="11"/>
        <color rgb="FF000000"/>
        <rFont val="Calibri"/>
      </rPr>
      <t xml:space="preserve">
</t>
    </r>
    <r>
      <rPr>
        <sz val="11"/>
        <color rgb="FF000000"/>
        <rFont val="Calibri"/>
      </rPr>
      <t>Note: Changes are applied to all nodes in the cluster. The API service on each node will restart after it is updated using this API. There may be a delay of up to a minute or so between the time this API call completes and when the new configuration goes into effect.</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</si>
  <si>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 Configuration of TLS on the NSX also ensures that passwords are not transmitted in the clear.</t>
    </r>
    <r>
      <rPr>
        <sz val="11"/>
        <color rgb="FF000000"/>
        <rFont val="Calibri"/>
      </rPr>
      <t xml:space="preserve">
</t>
    </r>
    <r>
      <rPr>
        <sz val="11"/>
        <color rgb="FF000000"/>
        <rFont val="Calibri"/>
      </rPr>
      <t>TLS 1.0 and 1.1 are deprecated protocols with well-published shortcomings and vulnerabilities. TLS 1.2 or greater must be enabled on all interfaces and TLS 1.1 and 1.0 disabled where supported.</t>
    </r>
    <r>
      <rPr>
        <sz val="11"/>
        <color rgb="FF000000"/>
        <rFont val="Calibri"/>
      </rPr>
      <t xml:space="preserve">
</t>
    </r>
    <r>
      <rPr>
        <sz val="11"/>
        <color rgb="FF000000"/>
        <rFont val="Calibri"/>
      </rPr>
      <t>Satisfies: SRG-APP-000156-NDM-000250, SRG-APP-000172-NDM-000259</t>
    </r>
  </si>
  <si>
    <r>
      <rPr>
        <sz val="11"/>
        <color rgb="FF000000"/>
        <rFont val="Calibri"/>
      </rPr>
      <t>Viewing TLS protocol enablement must be done via the API.</t>
    </r>
    <r>
      <rPr>
        <sz val="11"/>
        <color rgb="FF000000"/>
        <rFont val="Calibri"/>
      </rPr>
      <t xml:space="preserve">
</t>
    </r>
    <r>
      <rPr>
        <sz val="11"/>
        <color rgb="FF000000"/>
        <rFont val="Calibri"/>
      </rPr>
      <t>Execute the following API call using curl or another REST API client:</t>
    </r>
    <r>
      <rPr>
        <sz val="11"/>
        <color rgb="FF000000"/>
        <rFont val="Calibri"/>
      </rPr>
      <t xml:space="preserve">
</t>
    </r>
    <r>
      <rPr>
        <sz val="11"/>
        <color rgb="FF000000"/>
        <rFont val="Calibri"/>
      </rPr>
      <t>GET https://&lt;nsx-mgr&gt;/api/v1/cluster/api-service</t>
    </r>
    <r>
      <rPr>
        <sz val="11"/>
        <color rgb="FF000000"/>
        <rFont val="Calibri"/>
      </rPr>
      <t xml:space="preserve">
</t>
    </r>
    <r>
      <rPr>
        <sz val="11"/>
        <color rgb="FF000000"/>
        <rFont val="Calibri"/>
      </rPr>
      <t>Example result:</t>
    </r>
    <r>
      <rPr>
        <sz val="11"/>
        <color rgb="FF000000"/>
        <rFont val="Calibri"/>
      </rPr>
      <t xml:space="preserve">
</t>
    </r>
    <r>
      <rPr>
        <sz val="11"/>
        <color rgb="FF000000"/>
        <rFont val="Calibri"/>
      </rPr>
      <t>"protocol_versions": [</t>
    </r>
    <r>
      <rPr>
        <sz val="11"/>
        <color rgb="FF000000"/>
        <rFont val="Calibri"/>
      </rPr>
      <t xml:space="preserve">
</t>
    </r>
    <r>
      <rPr>
        <sz val="11"/>
        <color rgb="FF000000"/>
        <rFont val="Calibri"/>
      </rPr>
      <t>{</t>
    </r>
    <r>
      <rPr>
        <sz val="11"/>
        <color rgb="FF000000"/>
        <rFont val="Calibri"/>
      </rPr>
      <t xml:space="preserve">
</t>
    </r>
    <r>
      <rPr>
        <sz val="11"/>
        <color rgb="FF000000"/>
        <rFont val="Calibri"/>
      </rPr>
      <t>"name": "TLSv1.1",</t>
    </r>
    <r>
      <rPr>
        <sz val="11"/>
        <color rgb="FF000000"/>
        <rFont val="Calibri"/>
      </rPr>
      <t xml:space="preserve">
</t>
    </r>
    <r>
      <rPr>
        <sz val="11"/>
        <color rgb="FF000000"/>
        <rFont val="Calibri"/>
      </rPr>
      <t>"enabled": 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"name": "TLSv1.2",</t>
    </r>
    <r>
      <rPr>
        <sz val="11"/>
        <color rgb="FF000000"/>
        <rFont val="Calibri"/>
      </rPr>
      <t xml:space="preserve">
</t>
    </r>
    <r>
      <rPr>
        <sz val="11"/>
        <color rgb="FF000000"/>
        <rFont val="Calibri"/>
      </rPr>
      <t>"enabled": true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"name": "TLSv1.3",</t>
    </r>
    <r>
      <rPr>
        <sz val="11"/>
        <color rgb="FF000000"/>
        <rFont val="Calibri"/>
      </rPr>
      <t xml:space="preserve">
</t>
    </r>
    <r>
      <rPr>
        <sz val="11"/>
        <color rgb="FF000000"/>
        <rFont val="Calibri"/>
      </rPr>
      <t>"enabled": true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TLS 1.1 is enabled, this is a finding.</t>
    </r>
  </si>
  <si>
    <t>V-265316</t>
  </si>
  <si>
    <r>
      <rPr>
        <sz val="11"/>
        <rFont val="Calibri"/>
      </rPr>
      <t>The NSX Manager must enforce a minimum 15-character password length for local accounts.</t>
    </r>
  </si>
  <si>
    <r>
      <rPr>
        <sz val="11"/>
        <color rgb="FF000000"/>
        <rFont val="Calibri"/>
      </rPr>
      <t>From an NSX Manager shell, run the following command:</t>
    </r>
    <r>
      <rPr>
        <sz val="11"/>
        <color rgb="FF000000"/>
        <rFont val="Calibri"/>
      </rPr>
      <t xml:space="preserve">
</t>
    </r>
    <r>
      <rPr>
        <sz val="11"/>
        <color rgb="FF000000"/>
        <rFont val="Calibri"/>
      </rPr>
      <t>&gt; set password-complexity minimum-password-length 15</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</si>
  <si>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</si>
  <si>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From an NSX Manager shell, run the following command:</t>
    </r>
    <r>
      <rPr>
        <sz val="11"/>
        <color rgb="FF000000"/>
        <rFont val="Calibri"/>
      </rPr>
      <t xml:space="preserve">
</t>
    </r>
    <r>
      <rPr>
        <sz val="11"/>
        <color rgb="FF000000"/>
        <rFont val="Calibri"/>
      </rPr>
      <t>&gt;  get password-complexity</t>
    </r>
    <r>
      <rPr>
        <sz val="11"/>
        <color rgb="FF000000"/>
        <rFont val="Calibri"/>
      </rPr>
      <t xml:space="preserve">
</t>
    </r>
    <r>
      <rPr>
        <sz val="11"/>
        <color rgb="FF000000"/>
        <rFont val="Calibri"/>
      </rPr>
      <t>If the minimum password length is not 15 or greater, this is a finding.</t>
    </r>
  </si>
  <si>
    <t>V-265317</t>
  </si>
  <si>
    <r>
      <rPr>
        <sz val="11"/>
        <rFont val="Calibri"/>
      </rPr>
      <t>The NSX Manager must enforce password complexity by requiring that at least one uppercase character be used for local accounts.</t>
    </r>
  </si>
  <si>
    <r>
      <rPr>
        <sz val="11"/>
        <color rgb="FF000000"/>
        <rFont val="Calibri"/>
      </rPr>
      <t>From an NSX Manager shell, run the following command:</t>
    </r>
    <r>
      <rPr>
        <sz val="11"/>
        <color rgb="FF000000"/>
        <rFont val="Calibri"/>
      </rPr>
      <t xml:space="preserve">
</t>
    </r>
    <r>
      <rPr>
        <sz val="11"/>
        <color rgb="FF000000"/>
        <rFont val="Calibri"/>
      </rPr>
      <t>&gt; set password-complexity upper-chars -1</t>
    </r>
    <r>
      <rPr>
        <sz val="11"/>
        <color rgb="FF000000"/>
        <rFont val="Calibri"/>
      </rPr>
      <t xml:space="preserve">
</t>
    </r>
    <r>
      <rPr>
        <sz val="11"/>
        <color rgb="FF000000"/>
        <rFont val="Calibri"/>
      </rPr>
      <t>Note: Negative numbers indicate a minimum number of characters.</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</si>
  <si>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public key infrastructure (PKI) is not available, and for the account of last resort and root account.</t>
    </r>
  </si>
  <si>
    <r>
      <rPr>
        <sz val="11"/>
        <color rgb="FF000000"/>
        <rFont val="Calibri"/>
      </rPr>
      <t>From an NSX Manager shell, run the following command:</t>
    </r>
    <r>
      <rPr>
        <sz val="11"/>
        <color rgb="FF000000"/>
        <rFont val="Calibri"/>
      </rPr>
      <t xml:space="preserve">
</t>
    </r>
    <r>
      <rPr>
        <sz val="11"/>
        <color rgb="FF000000"/>
        <rFont val="Calibri"/>
      </rPr>
      <t>&gt;  get password-complexity</t>
    </r>
    <r>
      <rPr>
        <sz val="11"/>
        <color rgb="FF000000"/>
        <rFont val="Calibri"/>
      </rPr>
      <t xml:space="preserve">
</t>
    </r>
    <r>
      <rPr>
        <sz val="11"/>
        <color rgb="FF000000"/>
        <rFont val="Calibri"/>
      </rPr>
      <t>If the minimum uppercase characters is not 1 or more, this is a finding.</t>
    </r>
    <r>
      <rPr>
        <sz val="11"/>
        <color rgb="FF000000"/>
        <rFont val="Calibri"/>
      </rPr>
      <t xml:space="preserve">
</t>
    </r>
    <r>
      <rPr>
        <sz val="11"/>
        <color rgb="FF000000"/>
        <rFont val="Calibri"/>
      </rPr>
      <t>Note: If a maximum number of uppercase characters has been configured a minimum will not be shown.</t>
    </r>
  </si>
  <si>
    <t>V-265318</t>
  </si>
  <si>
    <r>
      <rPr>
        <sz val="11"/>
        <rFont val="Calibri"/>
      </rPr>
      <t>The NSX Manager must enforce password complexity by requiring that at least one lowercase character be used for local accounts.</t>
    </r>
  </si>
  <si>
    <r>
      <rPr>
        <sz val="11"/>
        <color rgb="FF000000"/>
        <rFont val="Calibri"/>
      </rPr>
      <t>From an NSX Manager shell, run the following command:</t>
    </r>
    <r>
      <rPr>
        <sz val="11"/>
        <color rgb="FF000000"/>
        <rFont val="Calibri"/>
      </rPr>
      <t xml:space="preserve">
</t>
    </r>
    <r>
      <rPr>
        <sz val="11"/>
        <color rgb="FF000000"/>
        <rFont val="Calibri"/>
      </rPr>
      <t>&gt; set password-complexity lower-chars -1</t>
    </r>
    <r>
      <rPr>
        <sz val="11"/>
        <color rgb="FF000000"/>
        <rFont val="Calibri"/>
      </rPr>
      <t xml:space="preserve">
</t>
    </r>
    <r>
      <rPr>
        <sz val="11"/>
        <color rgb="FF000000"/>
        <rFont val="Calibri"/>
      </rPr>
      <t>Note: Negative numbers indicate a minimum number of characters.</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</si>
  <si>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</si>
  <si>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From an NSX Manager shell, run the following command:</t>
    </r>
    <r>
      <rPr>
        <sz val="11"/>
        <color rgb="FF000000"/>
        <rFont val="Calibri"/>
      </rPr>
      <t xml:space="preserve">
</t>
    </r>
    <r>
      <rPr>
        <sz val="11"/>
        <color rgb="FF000000"/>
        <rFont val="Calibri"/>
      </rPr>
      <t>&gt;  get password-complexity</t>
    </r>
    <r>
      <rPr>
        <sz val="11"/>
        <color rgb="FF000000"/>
        <rFont val="Calibri"/>
      </rPr>
      <t xml:space="preserve">
</t>
    </r>
    <r>
      <rPr>
        <sz val="11"/>
        <color rgb="FF000000"/>
        <rFont val="Calibri"/>
      </rPr>
      <t>If the minimum lowercase characters is not 1 or more, this is a finding.</t>
    </r>
    <r>
      <rPr>
        <sz val="11"/>
        <color rgb="FF000000"/>
        <rFont val="Calibri"/>
      </rPr>
      <t xml:space="preserve">
</t>
    </r>
    <r>
      <rPr>
        <sz val="11"/>
        <color rgb="FF000000"/>
        <rFont val="Calibri"/>
      </rPr>
      <t>Note: If a maximum number of lowercase characters has been configured, a minimum will not be shown.</t>
    </r>
  </si>
  <si>
    <t>V-265319</t>
  </si>
  <si>
    <r>
      <rPr>
        <sz val="11"/>
        <rFont val="Calibri"/>
      </rPr>
      <t>The NSX Manager must enforce password complexity by requiring that at least one numeric character be used for local accounts.</t>
    </r>
  </si>
  <si>
    <r>
      <rPr>
        <sz val="11"/>
        <color rgb="FF000000"/>
        <rFont val="Calibri"/>
      </rPr>
      <t>From an NSX Manager shell, run the following command:</t>
    </r>
    <r>
      <rPr>
        <sz val="11"/>
        <color rgb="FF000000"/>
        <rFont val="Calibri"/>
      </rPr>
      <t xml:space="preserve">
</t>
    </r>
    <r>
      <rPr>
        <sz val="11"/>
        <color rgb="FF000000"/>
        <rFont val="Calibri"/>
      </rPr>
      <t>&gt; set password-complexity digits -1</t>
    </r>
    <r>
      <rPr>
        <sz val="11"/>
        <color rgb="FF000000"/>
        <rFont val="Calibri"/>
      </rPr>
      <t xml:space="preserve">
</t>
    </r>
    <r>
      <rPr>
        <sz val="11"/>
        <color rgb="FF000000"/>
        <rFont val="Calibri"/>
      </rPr>
      <t>Note: Negative numbers indicate a minimum number of characters.</t>
    </r>
  </si>
  <si>
    <r>
      <rPr>
        <sz val="11"/>
        <color rgb="FF000000"/>
        <rFont val="Calibri"/>
      </rPr>
      <t>From an NSX Manager shell, run the following command:</t>
    </r>
    <r>
      <rPr>
        <sz val="11"/>
        <color rgb="FF000000"/>
        <rFont val="Calibri"/>
      </rPr>
      <t xml:space="preserve">
</t>
    </r>
    <r>
      <rPr>
        <sz val="11"/>
        <color rgb="FF000000"/>
        <rFont val="Calibri"/>
      </rPr>
      <t>&gt;  get password-complexity</t>
    </r>
    <r>
      <rPr>
        <sz val="11"/>
        <color rgb="FF000000"/>
        <rFont val="Calibri"/>
      </rPr>
      <t xml:space="preserve">
</t>
    </r>
    <r>
      <rPr>
        <sz val="11"/>
        <color rgb="FF000000"/>
        <rFont val="Calibri"/>
      </rPr>
      <t>If the minimum numeric characters is not 1 or more, this is a finding.</t>
    </r>
    <r>
      <rPr>
        <sz val="11"/>
        <color rgb="FF000000"/>
        <rFont val="Calibri"/>
      </rPr>
      <t xml:space="preserve">
</t>
    </r>
    <r>
      <rPr>
        <sz val="11"/>
        <color rgb="FF000000"/>
        <rFont val="Calibri"/>
      </rPr>
      <t>Note: If a maximum number of numeric characters has been configured, a minimum will not be shown.</t>
    </r>
  </si>
  <si>
    <t>V-265320</t>
  </si>
  <si>
    <r>
      <rPr>
        <sz val="11"/>
        <rFont val="Calibri"/>
      </rPr>
      <t>The NSX Manager must enforce password complexity by requiring that at least one special character be used for local accounts.</t>
    </r>
  </si>
  <si>
    <r>
      <rPr>
        <sz val="11"/>
        <color rgb="FF000000"/>
        <rFont val="Calibri"/>
      </rPr>
      <t>From an NSX Manager shell, run the following command:</t>
    </r>
    <r>
      <rPr>
        <sz val="11"/>
        <color rgb="FF000000"/>
        <rFont val="Calibri"/>
      </rPr>
      <t xml:space="preserve">
</t>
    </r>
    <r>
      <rPr>
        <sz val="11"/>
        <color rgb="FF000000"/>
        <rFont val="Calibri"/>
      </rPr>
      <t>&gt; set password-complexity special-chars -1</t>
    </r>
    <r>
      <rPr>
        <sz val="11"/>
        <color rgb="FF000000"/>
        <rFont val="Calibri"/>
      </rPr>
      <t xml:space="preserve">
</t>
    </r>
    <r>
      <rPr>
        <sz val="11"/>
        <color rgb="FF000000"/>
        <rFont val="Calibri"/>
      </rPr>
      <t>Note: Negative numbers indicate a minimum number of characters.</t>
    </r>
  </si>
  <si>
    <r>
      <rPr>
        <sz val="11"/>
        <color rgb="FF000000"/>
        <rFont val="Calibri"/>
      </rPr>
      <t>From an NSX Manager shell, run the following command:</t>
    </r>
    <r>
      <rPr>
        <sz val="11"/>
        <color rgb="FF000000"/>
        <rFont val="Calibri"/>
      </rPr>
      <t xml:space="preserve">
</t>
    </r>
    <r>
      <rPr>
        <sz val="11"/>
        <color rgb="FF000000"/>
        <rFont val="Calibri"/>
      </rPr>
      <t>&gt;  get password-complexity</t>
    </r>
    <r>
      <rPr>
        <sz val="11"/>
        <color rgb="FF000000"/>
        <rFont val="Calibri"/>
      </rPr>
      <t xml:space="preserve">
</t>
    </r>
    <r>
      <rPr>
        <sz val="11"/>
        <color rgb="FF000000"/>
        <rFont val="Calibri"/>
      </rPr>
      <t>If the minimum special characters is not 1 or more, this is a finding.</t>
    </r>
    <r>
      <rPr>
        <sz val="11"/>
        <color rgb="FF000000"/>
        <rFont val="Calibri"/>
      </rPr>
      <t xml:space="preserve">
</t>
    </r>
    <r>
      <rPr>
        <sz val="11"/>
        <color rgb="FF000000"/>
        <rFont val="Calibri"/>
      </rPr>
      <t>Note: If a maximum number of special characters has been configured, a minimum will not be shown.</t>
    </r>
  </si>
  <si>
    <t>V-265321</t>
  </si>
  <si>
    <r>
      <rPr>
        <sz val="11"/>
        <rFont val="Calibri"/>
      </rPr>
      <t>The NSX Manager must require that when a password is changed, the characters are changed in at least eight of the positions within the password.</t>
    </r>
  </si>
  <si>
    <r>
      <rPr>
        <sz val="11"/>
        <color rgb="FF000000"/>
        <rFont val="Calibri"/>
      </rPr>
      <t>From an NSX Manager shell, run the following command:</t>
    </r>
    <r>
      <rPr>
        <sz val="11"/>
        <color rgb="FF000000"/>
        <rFont val="Calibri"/>
      </rPr>
      <t xml:space="preserve">
</t>
    </r>
    <r>
      <rPr>
        <sz val="11"/>
        <color rgb="FF000000"/>
        <rFont val="Calibri"/>
      </rPr>
      <t>&gt; set password-complexity max-repeats 8</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</si>
  <si>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</si>
  <si>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From an NSX Manager shell, run the following command:</t>
    </r>
    <r>
      <rPr>
        <sz val="11"/>
        <color rgb="FF000000"/>
        <rFont val="Calibri"/>
      </rPr>
      <t xml:space="preserve">
</t>
    </r>
    <r>
      <rPr>
        <sz val="11"/>
        <color rgb="FF000000"/>
        <rFont val="Calibri"/>
      </rPr>
      <t>&gt;  get password-complexity</t>
    </r>
    <r>
      <rPr>
        <sz val="11"/>
        <color rgb="FF000000"/>
        <rFont val="Calibri"/>
      </rPr>
      <t xml:space="preserve">
</t>
    </r>
    <r>
      <rPr>
        <sz val="11"/>
        <color rgb="FF000000"/>
        <rFont val="Calibri"/>
      </rPr>
      <t>If the number of consecutive characters allowed for reuse is not eight or more, this is a finding.</t>
    </r>
    <r>
      <rPr>
        <sz val="11"/>
        <color rgb="FF000000"/>
        <rFont val="Calibri"/>
      </rPr>
      <t xml:space="preserve">
</t>
    </r>
    <r>
      <rPr>
        <sz val="11"/>
        <color rgb="FF000000"/>
        <rFont val="Calibri"/>
      </rPr>
      <t>Note: If this has not previously been configured it will not be shown in the output.</t>
    </r>
  </si>
  <si>
    <t>V-265327</t>
  </si>
  <si>
    <r>
      <rPr>
        <sz val="11"/>
        <rFont val="Calibri"/>
      </rPr>
      <t>The NSX Manager must terminate all network connections associated with a session after five minutes of inactivity.</t>
    </r>
  </si>
  <si>
    <r>
      <rPr>
        <sz val="11"/>
        <color rgb="FF000000"/>
        <rFont val="Calibri"/>
      </rPr>
      <t>From an NSX Manager shell, run the following commands:</t>
    </r>
    <r>
      <rPr>
        <sz val="11"/>
        <color rgb="FF000000"/>
        <rFont val="Calibri"/>
      </rPr>
      <t xml:space="preserve">
</t>
    </r>
    <r>
      <rPr>
        <sz val="11"/>
        <color rgb="FF000000"/>
        <rFont val="Calibri"/>
      </rPr>
      <t>&gt; set service http session-timeout 300</t>
    </r>
    <r>
      <rPr>
        <sz val="11"/>
        <color rgb="FF000000"/>
        <rFont val="Calibri"/>
      </rPr>
      <t xml:space="preserve">
</t>
    </r>
    <r>
      <rPr>
        <sz val="11"/>
        <color rgb="FF000000"/>
        <rFont val="Calibri"/>
      </rPr>
      <t>&gt; set cli-timeout 300</t>
    </r>
  </si>
  <si>
    <r>
      <rPr>
        <sz val="11"/>
        <color rgb="FF000000"/>
        <rFont val="Calibri"/>
      </rPr>
      <t>Terminating an idle session within a short time period reduces the window of opportunity for unauthorized personnel to take immediate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SRG-APP-000190-NDM-000267, SRG-APP-000186-NDM-000266, SRG-APP-000400-NDM-000313</t>
    </r>
  </si>
  <si>
    <r>
      <rPr>
        <sz val="11"/>
        <color rgb="FF000000"/>
        <rFont val="Calibri"/>
      </rPr>
      <t>From an NSX Manager shell, run the following command:</t>
    </r>
    <r>
      <rPr>
        <sz val="11"/>
        <color rgb="FF000000"/>
        <rFont val="Calibri"/>
      </rPr>
      <t xml:space="preserve">
</t>
    </r>
    <r>
      <rPr>
        <sz val="11"/>
        <color rgb="FF000000"/>
        <rFont val="Calibri"/>
      </rPr>
      <t>&gt; get service http | find Session</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Session timeout: 300</t>
    </r>
    <r>
      <rPr>
        <sz val="11"/>
        <color rgb="FF000000"/>
        <rFont val="Calibri"/>
      </rPr>
      <t xml:space="preserve">
</t>
    </r>
    <r>
      <rPr>
        <sz val="11"/>
        <color rgb="FF000000"/>
        <rFont val="Calibri"/>
      </rPr>
      <t>If the session timeout is not configured to 300 or less, this is a finding.</t>
    </r>
    <r>
      <rPr>
        <sz val="11"/>
        <color rgb="FF000000"/>
        <rFont val="Calibri"/>
      </rPr>
      <t xml:space="preserve">
</t>
    </r>
    <r>
      <rPr>
        <sz val="11"/>
        <color rgb="FF000000"/>
        <rFont val="Calibri"/>
      </rPr>
      <t>From an NSX Manager shell, run the following command:</t>
    </r>
    <r>
      <rPr>
        <sz val="11"/>
        <color rgb="FF000000"/>
        <rFont val="Calibri"/>
      </rPr>
      <t xml:space="preserve">
</t>
    </r>
    <r>
      <rPr>
        <sz val="11"/>
        <color rgb="FF000000"/>
        <rFont val="Calibri"/>
      </rPr>
      <t>&gt; get cli-timeout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300 seconds</t>
    </r>
    <r>
      <rPr>
        <sz val="11"/>
        <color rgb="FF000000"/>
        <rFont val="Calibri"/>
      </rPr>
      <t xml:space="preserve">
</t>
    </r>
    <r>
      <rPr>
        <sz val="11"/>
        <color rgb="FF000000"/>
        <rFont val="Calibri"/>
      </rPr>
      <t>If the CLI timeout is not configured to 300 or less, this is a finding.</t>
    </r>
  </si>
  <si>
    <t>V-265338</t>
  </si>
  <si>
    <r>
      <rPr>
        <sz val="11"/>
        <rFont val="Calibri"/>
      </rPr>
      <t>The NSX Manager must be configured to synchronize internal information system clocks using redundant authoritative time sources.</t>
    </r>
  </si>
  <si>
    <r>
      <rPr>
        <sz val="11"/>
        <color rgb="FF000000"/>
        <rFont val="Calibri"/>
      </rPr>
      <t>To configure a profile to apply NTP servers to all NSX Manager nodes, do the following:</t>
    </r>
    <r>
      <rPr>
        <sz val="11"/>
        <color rgb="FF000000"/>
        <rFont val="Calibri"/>
      </rPr>
      <t xml:space="preserve">
</t>
    </r>
    <r>
      <rPr>
        <sz val="11"/>
        <color rgb="FF000000"/>
        <rFont val="Calibri"/>
      </rPr>
      <t>From the NSX Manager web interface, go to System &gt;&gt; Configuration &gt;&gt; Fabric &gt;&gt; Profiles &gt;&gt; Node Profiles.</t>
    </r>
    <r>
      <rPr>
        <sz val="11"/>
        <color rgb="FF000000"/>
        <rFont val="Calibri"/>
      </rPr>
      <t xml:space="preserve">
</t>
    </r>
    <r>
      <rPr>
        <sz val="11"/>
        <color rgb="FF000000"/>
        <rFont val="Calibri"/>
      </rPr>
      <t>Click "All NSX Nodes" and then click "Edit".</t>
    </r>
    <r>
      <rPr>
        <sz val="11"/>
        <color rgb="FF000000"/>
        <rFont val="Calibri"/>
      </rPr>
      <t xml:space="preserve">
</t>
    </r>
    <r>
      <rPr>
        <sz val="11"/>
        <color rgb="FF000000"/>
        <rFont val="Calibri"/>
      </rPr>
      <t>Under NTP servers, remove any unknown or nonauthoritative NTP servers, enter at least two authoritative servers, and then click "Save".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 Manager shell, run the following commands:</t>
    </r>
    <r>
      <rPr>
        <sz val="11"/>
        <color rgb="FF000000"/>
        <rFont val="Calibri"/>
      </rPr>
      <t xml:space="preserve">
</t>
    </r>
    <r>
      <rPr>
        <sz val="11"/>
        <color rgb="FF000000"/>
        <rFont val="Calibri"/>
      </rPr>
      <t>&gt; del ntp-server &lt;server-ip or server-name&gt;</t>
    </r>
    <r>
      <rPr>
        <sz val="11"/>
        <color rgb="FF000000"/>
        <rFont val="Calibri"/>
      </rPr>
      <t xml:space="preserve">
</t>
    </r>
    <r>
      <rPr>
        <sz val="11"/>
        <color rgb="FF000000"/>
        <rFont val="Calibri"/>
      </rPr>
      <t>&gt; set ntp-server &lt;server-ip or server-name&gt;</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</si>
  <si>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use an authoritative time server and/or be configured to use redundant authoritative time sources.</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</si>
  <si>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From the NSX Manager web interface, go to System &gt;&gt; Configuration &gt;&gt; Fabric &gt;&gt; Profiles &gt;&gt; Node Profiles.</t>
    </r>
    <r>
      <rPr>
        <sz val="11"/>
        <color rgb="FF000000"/>
        <rFont val="Calibri"/>
      </rPr>
      <t xml:space="preserve">
</t>
    </r>
    <r>
      <rPr>
        <sz val="11"/>
        <color rgb="FF000000"/>
        <rFont val="Calibri"/>
      </rPr>
      <t>Click "All NSX Nodes" and verify the NTP servers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 Manager shell, run the following command:</t>
    </r>
    <r>
      <rPr>
        <sz val="11"/>
        <color rgb="FF000000"/>
        <rFont val="Calibri"/>
      </rPr>
      <t xml:space="preserve">
</t>
    </r>
    <r>
      <rPr>
        <sz val="11"/>
        <color rgb="FF000000"/>
        <rFont val="Calibri"/>
      </rPr>
      <t>&gt; get ntp-server</t>
    </r>
    <r>
      <rPr>
        <sz val="11"/>
        <color rgb="FF000000"/>
        <rFont val="Calibri"/>
      </rPr>
      <t xml:space="preserve">
</t>
    </r>
    <r>
      <rPr>
        <sz val="11"/>
        <color rgb="FF000000"/>
        <rFont val="Calibri"/>
      </rPr>
      <t>If the output does not contain at least two authoritative time sources, this is a finding.</t>
    </r>
    <r>
      <rPr>
        <sz val="11"/>
        <color rgb="FF000000"/>
        <rFont val="Calibri"/>
      </rPr>
      <t xml:space="preserve">
</t>
    </r>
    <r>
      <rPr>
        <sz val="11"/>
        <color rgb="FF000000"/>
        <rFont val="Calibri"/>
      </rPr>
      <t>If the output contains unknown or nonauthoritative time sources, this is a finding.</t>
    </r>
  </si>
  <si>
    <t>V-265339</t>
  </si>
  <si>
    <r>
      <rPr>
        <sz val="11"/>
        <rFont val="Calibri"/>
      </rPr>
      <t>The NSX Manager must record time stamps for audit records that can be mapped to Coordinated Universal Time (UTC).</t>
    </r>
  </si>
  <si>
    <r>
      <rPr>
        <sz val="11"/>
        <color rgb="FF000000"/>
        <rFont val="Calibri"/>
      </rPr>
      <t>To configure a profile to apply a time zone to all NSX Manager nodes, do the following:</t>
    </r>
    <r>
      <rPr>
        <sz val="11"/>
        <color rgb="FF000000"/>
        <rFont val="Calibri"/>
      </rPr>
      <t xml:space="preserve">
</t>
    </r>
    <r>
      <rPr>
        <sz val="11"/>
        <color rgb="FF000000"/>
        <rFont val="Calibri"/>
      </rPr>
      <t>From the NSX Manager web interface, go to System &gt;&gt; Configuration &gt;&gt; Fabric &gt;&gt; Profiles &gt;&gt; Node Profiles.</t>
    </r>
    <r>
      <rPr>
        <sz val="11"/>
        <color rgb="FF000000"/>
        <rFont val="Calibri"/>
      </rPr>
      <t xml:space="preserve">
</t>
    </r>
    <r>
      <rPr>
        <sz val="11"/>
        <color rgb="FF000000"/>
        <rFont val="Calibri"/>
      </rPr>
      <t>Click "All NSX Nodes", and then click "Edit".</t>
    </r>
    <r>
      <rPr>
        <sz val="11"/>
        <color rgb="FF000000"/>
        <rFont val="Calibri"/>
      </rPr>
      <t xml:space="preserve">
</t>
    </r>
    <r>
      <rPr>
        <sz val="11"/>
        <color rgb="FF000000"/>
        <rFont val="Calibri"/>
      </rPr>
      <t>In the time zone drop-down list, select "UTC", and then click "Save".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 Manager shell, run the following command:</t>
    </r>
    <r>
      <rPr>
        <sz val="11"/>
        <color rgb="FF000000"/>
        <rFont val="Calibri"/>
      </rPr>
      <t xml:space="preserve">
</t>
    </r>
    <r>
      <rPr>
        <sz val="11"/>
        <color rgb="FF000000"/>
        <rFont val="Calibri"/>
      </rPr>
      <t>&gt; set timezone UTC</t>
    </r>
    <r>
      <rPr>
        <sz val="11"/>
        <color rgb="FF000000"/>
        <rFont val="Calibri"/>
      </rPr>
      <t xml:space="preserve">
</t>
    </r>
    <r>
      <rPr>
        <sz val="11"/>
        <color rgb="FF000000"/>
        <rFont val="Calibri"/>
      </rPr>
      <t>Note: This fix must be run from each NSX Manager as they are configured individually if done from the command line.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</si>
  <si>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</si>
  <si>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From the NSX Manager web interface, go to System &gt;&gt; Configuration &gt;&gt; Fabric &gt;&gt; Profiles &gt;&gt; Node Profiles.</t>
    </r>
    <r>
      <rPr>
        <sz val="11"/>
        <color rgb="FF000000"/>
        <rFont val="Calibri"/>
      </rPr>
      <t xml:space="preserve">
</t>
    </r>
    <r>
      <rPr>
        <sz val="11"/>
        <color rgb="FF000000"/>
        <rFont val="Calibri"/>
      </rPr>
      <t>Note: This check must be run from each NSX Manager as they are configured individually if done from the command line.</t>
    </r>
    <r>
      <rPr>
        <sz val="11"/>
        <color rgb="FF000000"/>
        <rFont val="Calibri"/>
      </rPr>
      <t xml:space="preserve">
</t>
    </r>
    <r>
      <rPr>
        <sz val="11"/>
        <color rgb="FF000000"/>
        <rFont val="Calibri"/>
      </rPr>
      <t>Click "All NSX Nodes" and verify the time zone.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 Manager shell, run the following command:</t>
    </r>
    <r>
      <rPr>
        <sz val="11"/>
        <color rgb="FF000000"/>
        <rFont val="Calibri"/>
      </rPr>
      <t xml:space="preserve">
</t>
    </r>
    <r>
      <rPr>
        <sz val="11"/>
        <color rgb="FF000000"/>
        <rFont val="Calibri"/>
      </rPr>
      <t>&gt; get clock</t>
    </r>
    <r>
      <rPr>
        <sz val="11"/>
        <color rgb="FF000000"/>
        <rFont val="Calibri"/>
      </rPr>
      <t xml:space="preserve">
</t>
    </r>
    <r>
      <rPr>
        <sz val="11"/>
        <color rgb="FF000000"/>
        <rFont val="Calibri"/>
      </rPr>
      <t>If system clock is not configured with the UTC time zone, this is a finding.</t>
    </r>
  </si>
  <si>
    <t>V-265346</t>
  </si>
  <si>
    <r>
      <rPr>
        <sz val="11"/>
        <rFont val="Calibri"/>
      </rPr>
      <t>The NSX Manager must be configured to protect against denial-of-service (DoS) attacks by limit the number of concurrent sessions to an organization-defined number.</t>
    </r>
  </si>
  <si>
    <r>
      <rPr>
        <sz val="11"/>
        <color rgb="FF000000"/>
        <rFont val="Calibri"/>
      </rPr>
      <t>From an NSX Manager shell, run the following commands:</t>
    </r>
    <r>
      <rPr>
        <sz val="11"/>
        <color rgb="FF000000"/>
        <rFont val="Calibri"/>
      </rPr>
      <t xml:space="preserve">
</t>
    </r>
    <r>
      <rPr>
        <sz val="11"/>
        <color rgb="FF000000"/>
        <rFont val="Calibri"/>
      </rPr>
      <t>&gt; set service http client-api-concurrency-limit 40</t>
    </r>
    <r>
      <rPr>
        <sz val="11"/>
        <color rgb="FF000000"/>
        <rFont val="Calibri"/>
      </rPr>
      <t xml:space="preserve">
</t>
    </r>
    <r>
      <rPr>
        <sz val="11"/>
        <color rgb="FF000000"/>
        <rFont val="Calibri"/>
      </rPr>
      <t>&gt; set service http global-api-concurrency-limit 199</t>
    </r>
    <r>
      <rPr>
        <sz val="11"/>
        <color rgb="FF000000"/>
        <rFont val="Calibri"/>
      </rPr>
      <t xml:space="preserve">
</t>
    </r>
    <r>
      <rPr>
        <sz val="11"/>
        <color rgb="FF000000"/>
        <rFont val="Calibri"/>
      </rPr>
      <t>Note: The limit numbers in this example, while not mandatory, are the vendor recommend options. Setting the limits to lower numbers in a large environment that is very busy may cause operational issues. Setting the limits higher may cause resource contention so should be tested and monitored.</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</si>
  <si>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Limiting the number of concurrent open sessions helps limit the risk of DoS attacks.</t>
    </r>
    <r>
      <rPr>
        <sz val="11"/>
        <color rgb="FF000000"/>
        <rFont val="Calibri"/>
      </rPr>
      <t xml:space="preserve">
</t>
    </r>
    <r>
      <rPr>
        <sz val="11"/>
        <color rgb="FF000000"/>
        <rFont val="Calibri"/>
      </rPr>
      <t>Organizations may define the maximum number of concurrent sessions for system accounts globally or by connection type. By default, the NSX Manager has a protection mechanism in place to prevent the API from being overloaded. This setting also addresses concurrent sessions for integrations into NSX API to monitor or configure NSX.</t>
    </r>
    <r>
      <rPr>
        <sz val="11"/>
        <color rgb="FF000000"/>
        <rFont val="Calibri"/>
      </rPr>
      <t xml:space="preserve">
</t>
    </r>
    <r>
      <rPr>
        <sz val="11"/>
        <color rgb="FF000000"/>
        <rFont val="Calibri"/>
      </rPr>
      <t>Satisfies: SRG-APP-000435-NDM-000315, SRG-APP-000001-NDM-000200</t>
    </r>
  </si>
  <si>
    <r>
      <rPr>
        <sz val="11"/>
        <color rgb="FF000000"/>
        <rFont val="Calibri"/>
      </rPr>
      <t>From an NSX Manager shell, run the following command:</t>
    </r>
    <r>
      <rPr>
        <sz val="11"/>
        <color rgb="FF000000"/>
        <rFont val="Calibri"/>
      </rPr>
      <t xml:space="preserve">
</t>
    </r>
    <r>
      <rPr>
        <sz val="11"/>
        <color rgb="FF000000"/>
        <rFont val="Calibri"/>
      </rPr>
      <t>&gt; get service http | find limit</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Client API concurrency limit: 40 connections</t>
    </r>
    <r>
      <rPr>
        <sz val="11"/>
        <color rgb="FF000000"/>
        <rFont val="Calibri"/>
      </rPr>
      <t xml:space="preserve">
</t>
    </r>
    <r>
      <rPr>
        <sz val="11"/>
        <color rgb="FF000000"/>
        <rFont val="Calibri"/>
      </rPr>
      <t>Global API concurrency limit: 199 connections</t>
    </r>
    <r>
      <rPr>
        <sz val="11"/>
        <color rgb="FF000000"/>
        <rFont val="Calibri"/>
      </rPr>
      <t xml:space="preserve">
</t>
    </r>
    <r>
      <rPr>
        <sz val="11"/>
        <color rgb="FF000000"/>
        <rFont val="Calibri"/>
      </rPr>
      <t>If the NSX does not limit the number of concurrent sessions to an organization-defined number, this is a finding.</t>
    </r>
  </si>
  <si>
    <t>V-265348</t>
  </si>
  <si>
    <r>
      <rPr>
        <sz val="11"/>
        <rFont val="Calibri"/>
      </rPr>
      <t>The NSX Manager must be configured to send logs to a central log server.</t>
    </r>
  </si>
  <si>
    <r>
      <rPr>
        <sz val="11"/>
        <color rgb="FF000000"/>
        <rFont val="Calibri"/>
      </rPr>
      <t>To configure a profile to apply syslog servers to all NSX Manager nodes, do the following:</t>
    </r>
    <r>
      <rPr>
        <sz val="11"/>
        <color rgb="FF000000"/>
        <rFont val="Calibri"/>
      </rPr>
      <t xml:space="preserve">
</t>
    </r>
    <r>
      <rPr>
        <sz val="11"/>
        <color rgb="FF000000"/>
        <rFont val="Calibri"/>
      </rPr>
      <t>From the NSX Manager web interface, go to System &gt;&gt; Fabric &gt;&gt; Profiles &gt;&gt; Node Profiles.</t>
    </r>
    <r>
      <rPr>
        <sz val="11"/>
        <color rgb="FF000000"/>
        <rFont val="Calibri"/>
      </rPr>
      <t xml:space="preserve">
</t>
    </r>
    <r>
      <rPr>
        <sz val="11"/>
        <color rgb="FF000000"/>
        <rFont val="Calibri"/>
      </rPr>
      <t>Click "All NSX Nodes" and then under "Syslog Servers" click "Add".</t>
    </r>
    <r>
      <rPr>
        <sz val="11"/>
        <color rgb="FF000000"/>
        <rFont val="Calibri"/>
      </rPr>
      <t xml:space="preserve">
</t>
    </r>
    <r>
      <rPr>
        <sz val="11"/>
        <color rgb="FF000000"/>
        <rFont val="Calibri"/>
      </rPr>
      <t>Enter the syslog server details and choose "Information" for the log level and click "Add".</t>
    </r>
    <r>
      <rPr>
        <sz val="11"/>
        <color rgb="FF000000"/>
        <rFont val="Calibri"/>
      </rPr>
      <t xml:space="preserve">
</t>
    </r>
    <r>
      <rPr>
        <sz val="11"/>
        <color rgb="FF000000"/>
        <rFont val="Calibri"/>
      </rPr>
      <t>or</t>
    </r>
    <r>
      <rPr>
        <sz val="11"/>
        <color rgb="FF000000"/>
        <rFont val="Calibri"/>
      </rPr>
      <t xml:space="preserve">
</t>
    </r>
    <r>
      <rPr>
        <sz val="11"/>
        <color rgb="FF000000"/>
        <rFont val="Calibri"/>
      </rPr>
      <t>(Optional) From an NSX Manager shell, run the following command to clear any existing incorrect logging-servers:</t>
    </r>
    <r>
      <rPr>
        <sz val="11"/>
        <color rgb="FF000000"/>
        <rFont val="Calibri"/>
      </rPr>
      <t xml:space="preserve">
</t>
    </r>
    <r>
      <rPr>
        <sz val="11"/>
        <color rgb="FF000000"/>
        <rFont val="Calibri"/>
      </rPr>
      <t>&gt; clear logging-servers</t>
    </r>
    <r>
      <rPr>
        <sz val="11"/>
        <color rgb="FF000000"/>
        <rFont val="Calibri"/>
      </rPr>
      <t xml:space="preserve">
</t>
    </r>
    <r>
      <rPr>
        <sz val="11"/>
        <color rgb="FF000000"/>
        <rFont val="Calibri"/>
      </rPr>
      <t>From an NSX Manager shell, run the following command to configure a udp/tcp syslog server:</t>
    </r>
    <r>
      <rPr>
        <sz val="11"/>
        <color rgb="FF000000"/>
        <rFont val="Calibri"/>
      </rPr>
      <t xml:space="preserve">
</t>
    </r>
    <r>
      <rPr>
        <sz val="11"/>
        <color rgb="FF000000"/>
        <rFont val="Calibri"/>
      </rPr>
      <t>&gt; set logging-server &lt;server-ip or server-name&gt; proto &lt;tcp or udp&gt; level info</t>
    </r>
    <r>
      <rPr>
        <sz val="11"/>
        <color rgb="FF000000"/>
        <rFont val="Calibri"/>
      </rPr>
      <t xml:space="preserve">
</t>
    </r>
    <r>
      <rPr>
        <sz val="11"/>
        <color rgb="FF000000"/>
        <rFont val="Calibri"/>
      </rPr>
      <t>From an NSX Manager shell, run the following command to configure a TLS syslog server:</t>
    </r>
    <r>
      <rPr>
        <sz val="11"/>
        <color rgb="FF000000"/>
        <rFont val="Calibri"/>
      </rPr>
      <t xml:space="preserve">
</t>
    </r>
    <r>
      <rPr>
        <sz val="11"/>
        <color rgb="FF000000"/>
        <rFont val="Calibri"/>
      </rPr>
      <t>&gt; set logging-server &lt;server-ip or server-name&gt; proto tls level info serverca ca.pem clientca ca.pem certificate cert.pem key key.pem</t>
    </r>
    <r>
      <rPr>
        <sz val="11"/>
        <color rgb="FF000000"/>
        <rFont val="Calibri"/>
      </rPr>
      <t xml:space="preserve">
</t>
    </r>
    <r>
      <rPr>
        <sz val="11"/>
        <color rgb="FF000000"/>
        <rFont val="Calibri"/>
      </rPr>
      <t>From an NSX Manager shell, run the following command to configure an LI-TLS syslog server:</t>
    </r>
    <r>
      <rPr>
        <sz val="11"/>
        <color rgb="FF000000"/>
        <rFont val="Calibri"/>
      </rPr>
      <t xml:space="preserve">
</t>
    </r>
    <r>
      <rPr>
        <sz val="11"/>
        <color rgb="FF000000"/>
        <rFont val="Calibri"/>
      </rPr>
      <t>&gt; set logging-server &lt;server-ip or server-name&gt; proto li-tls level info serverca root-ca.crt</t>
    </r>
    <r>
      <rPr>
        <sz val="11"/>
        <color rgb="FF000000"/>
        <rFont val="Calibri"/>
      </rPr>
      <t xml:space="preserve">
</t>
    </r>
    <r>
      <rPr>
        <sz val="11"/>
        <color rgb="FF000000"/>
        <rFont val="Calibri"/>
      </rPr>
      <t>Note: If using the protocols TLS or LI-TLS to configure a secure connection to a log server, the server and client certificates must be stored in /image/vmware/nsx/file-store on each NSX-T Manager appliance.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</si>
  <si>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SRG-APP-000515-NDM-000325, SRG-APP-000357-NDM-000293, SRG-APP-000516-NDM-000350</t>
    </r>
  </si>
  <si>
    <r>
      <rPr>
        <sz val="11"/>
        <color rgb="FF000000"/>
        <rFont val="Calibri"/>
      </rPr>
      <t>From the NSX Manager web interface, go to System &gt;&gt; Fabric &gt;&gt; Profiles &gt;&gt; Node Profiles.</t>
    </r>
    <r>
      <rPr>
        <sz val="11"/>
        <color rgb="FF000000"/>
        <rFont val="Calibri"/>
      </rPr>
      <t xml:space="preserve">
</t>
    </r>
    <r>
      <rPr>
        <sz val="11"/>
        <color rgb="FF000000"/>
        <rFont val="Calibri"/>
      </rPr>
      <t>Click "All NSX Nodes" and verify the Syslog servers listed.</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 Manager shell, run the following command:</t>
    </r>
    <r>
      <rPr>
        <sz val="11"/>
        <color rgb="FF000000"/>
        <rFont val="Calibri"/>
      </rPr>
      <t xml:space="preserve">
</t>
    </r>
    <r>
      <rPr>
        <sz val="11"/>
        <color rgb="FF000000"/>
        <rFont val="Calibri"/>
      </rPr>
      <t>&gt; get logging-servers</t>
    </r>
    <r>
      <rPr>
        <sz val="11"/>
        <color rgb="FF000000"/>
        <rFont val="Calibri"/>
      </rPr>
      <t xml:space="preserve">
</t>
    </r>
    <r>
      <rPr>
        <sz val="11"/>
        <color rgb="FF000000"/>
        <rFont val="Calibri"/>
      </rPr>
      <t>Note: This command must be run from each NSX Manager as they are configured individually.</t>
    </r>
    <r>
      <rPr>
        <sz val="11"/>
        <color rgb="FF000000"/>
        <rFont val="Calibri"/>
      </rPr>
      <t xml:space="preserve">
</t>
    </r>
    <r>
      <rPr>
        <sz val="11"/>
        <color rgb="FF000000"/>
        <rFont val="Calibri"/>
      </rPr>
      <t>If no logging severs are configured or unauthorized logging servers are configured, this is a finding.</t>
    </r>
    <r>
      <rPr>
        <sz val="11"/>
        <color rgb="FF000000"/>
        <rFont val="Calibri"/>
      </rPr>
      <t xml:space="preserve">
</t>
    </r>
    <r>
      <rPr>
        <sz val="11"/>
        <color rgb="FF000000"/>
        <rFont val="Calibri"/>
      </rPr>
      <t>If the log level is not set to INFO, this is a finding.</t>
    </r>
  </si>
  <si>
    <t>V-265349</t>
  </si>
  <si>
    <r>
      <rPr>
        <sz val="11"/>
        <rFont val="Calibri"/>
      </rPr>
      <t>The NSX Manager must not provide environment information to third parties.</t>
    </r>
  </si>
  <si>
    <t>CAT III (Low)</t>
  </si>
  <si>
    <r>
      <rPr>
        <sz val="11"/>
        <color rgb="FF000000"/>
        <rFont val="Calibri"/>
      </rPr>
      <t>From the NSX Manager web interface, go to System &gt;&gt; Settings &gt;&gt; General Settings &gt;&gt; Customer Program &gt;&gt; Customer Experience Improvement Program, and then click "Edit".</t>
    </r>
    <r>
      <rPr>
        <sz val="11"/>
        <color rgb="FF000000"/>
        <rFont val="Calibri"/>
      </rPr>
      <t xml:space="preserve">
</t>
    </r>
    <r>
      <rPr>
        <sz val="11"/>
        <color rgb="FF000000"/>
        <rFont val="Calibri"/>
      </rPr>
      <t>Uncheck "Join the VMware Customer Experience Improvement Program" and click "Save".</t>
    </r>
  </si>
  <si>
    <r>
      <rPr>
        <sz val="11"/>
        <color rgb="FF000000"/>
        <rFont val="Calibri"/>
      </rPr>
      <t>Providing technical details about an environment's infrastructure to third parties could unknowingly expose sensitive information to bad actors if intercepted.</t>
    </r>
  </si>
  <si>
    <r>
      <rPr>
        <sz val="11"/>
        <color rgb="FF000000"/>
        <rFont val="Calibri"/>
      </rPr>
      <t>From the NSX Manager web interface, go to System &gt;&gt; Settings &gt;&gt; General Settings &gt;&gt; Customer Program &gt;&gt; Customer Experience Improvement Program.</t>
    </r>
    <r>
      <rPr>
        <sz val="11"/>
        <color rgb="FF000000"/>
        <rFont val="Calibri"/>
      </rPr>
      <t xml:space="preserve">
</t>
    </r>
    <r>
      <rPr>
        <sz val="11"/>
        <color rgb="FF000000"/>
        <rFont val="Calibri"/>
      </rPr>
      <t>If Joined is set to "Yes", this is a finding.</t>
    </r>
  </si>
  <si>
    <t>V-265350</t>
  </si>
  <si>
    <r>
      <rPr>
        <sz val="11"/>
        <rFont val="Calibri"/>
      </rPr>
      <t>The NSX Manager must be configured to conduct backups on an organizationally defined schedule.</t>
    </r>
  </si>
  <si>
    <r>
      <rPr>
        <sz val="11"/>
        <color rgb="FF000000"/>
        <rFont val="Calibri"/>
      </rPr>
      <t>To configure a backup destination, do the following:</t>
    </r>
    <r>
      <rPr>
        <sz val="11"/>
        <color rgb="FF000000"/>
        <rFont val="Calibri"/>
      </rPr>
      <t xml:space="preserve">
</t>
    </r>
    <r>
      <rPr>
        <sz val="11"/>
        <color rgb="FF000000"/>
        <rFont val="Calibri"/>
      </rPr>
      <t>From the NSX Manager web interface, go to System &gt;&gt; Lifecycle Management &gt;&gt; Backup and Restore, and then click "Edit" next to SFTP Server.</t>
    </r>
    <r>
      <rPr>
        <sz val="11"/>
        <color rgb="FF000000"/>
        <rFont val="Calibri"/>
      </rPr>
      <t xml:space="preserve">
</t>
    </r>
    <r>
      <rPr>
        <sz val="11"/>
        <color rgb="FF000000"/>
        <rFont val="Calibri"/>
      </rPr>
      <t>Enter the target SFTP server, Directory Path, Username, Password, SSH Fingerprint, and Passphrase, and then click "Save".</t>
    </r>
    <r>
      <rPr>
        <sz val="11"/>
        <color rgb="FF000000"/>
        <rFont val="Calibri"/>
      </rPr>
      <t xml:space="preserve">
</t>
    </r>
    <r>
      <rPr>
        <sz val="11"/>
        <color rgb="FF000000"/>
        <rFont val="Calibri"/>
      </rPr>
      <t>To configure a backup schedule, do the following:</t>
    </r>
    <r>
      <rPr>
        <sz val="11"/>
        <color rgb="FF000000"/>
        <rFont val="Calibri"/>
      </rPr>
      <t xml:space="preserve">
</t>
    </r>
    <r>
      <rPr>
        <sz val="11"/>
        <color rgb="FF000000"/>
        <rFont val="Calibri"/>
      </rPr>
      <t>From the NSX Manager web interface, go to System &gt;&gt; Lifecycle Management &gt;&gt; Backup and Restore, and then click "Edit" next to Schedule.</t>
    </r>
    <r>
      <rPr>
        <sz val="11"/>
        <color rgb="FF000000"/>
        <rFont val="Calibri"/>
      </rPr>
      <t xml:space="preserve">
</t>
    </r>
    <r>
      <rPr>
        <sz val="11"/>
        <color rgb="FF000000"/>
        <rFont val="Calibri"/>
      </rPr>
      <t>Click the "Recurring Backup" toggle and configure an interval between backups.</t>
    </r>
    <r>
      <rPr>
        <sz val="11"/>
        <color rgb="FF000000"/>
        <rFont val="Calibri"/>
      </rPr>
      <t xml:space="preserve">
</t>
    </r>
    <r>
      <rPr>
        <sz val="11"/>
        <color rgb="FF000000"/>
        <rFont val="Calibri"/>
      </rPr>
      <t>Enable "Detect NSX configuration change" to trigger backups on detection of configuration changes and specify an interval for detecting changes. Click "Save".</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</si>
  <si>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This control requires the network device to support the organizational central backup process for user account information associated with the network device. This function may be provided by the network device itself; however, the preferred best practice is a centralized backup rather than each network device performing discrete backups.</t>
    </r>
    <r>
      <rPr>
        <sz val="11"/>
        <color rgb="FF000000"/>
        <rFont val="Calibri"/>
      </rPr>
      <t xml:space="preserve">
</t>
    </r>
    <r>
      <rPr>
        <sz val="11"/>
        <color rgb="FF000000"/>
        <rFont val="Calibri"/>
      </rPr>
      <t>Satisfies: SRG-APP-000516-NDM-000341, SRG-APP-000516-NDM-000340</t>
    </r>
  </si>
  <si>
    <r>
      <rPr>
        <sz val="11"/>
        <color rgb="FF000000"/>
        <rFont val="Calibri"/>
      </rPr>
      <t>From the NSX Manager web interface, go to System &gt;&gt; Lifecycle Management &gt;&gt; Backup and Restore to view the backup configuration.</t>
    </r>
    <r>
      <rPr>
        <sz val="11"/>
        <color rgb="FF000000"/>
        <rFont val="Calibri"/>
      </rPr>
      <t xml:space="preserve">
</t>
    </r>
    <r>
      <rPr>
        <sz val="11"/>
        <color rgb="FF000000"/>
        <rFont val="Calibri"/>
      </rPr>
      <t>If backup is not configured and scheduled on a recurring frequency, this is a finding.</t>
    </r>
  </si>
  <si>
    <t>V-265351</t>
  </si>
  <si>
    <r>
      <rPr>
        <sz val="11"/>
        <rFont val="Calibri"/>
      </rPr>
      <t>The NSX Manager must obtain its public key certificates from an appropriate certificate policy through an approved service provider.</t>
    </r>
  </si>
  <si>
    <r>
      <rPr>
        <sz val="11"/>
        <color rgb="FF000000"/>
        <rFont val="Calibri"/>
      </rPr>
      <t>Obtain a certificate or certificates signed by an approved certification authority.</t>
    </r>
    <r>
      <rPr>
        <sz val="11"/>
        <color rgb="FF000000"/>
        <rFont val="Calibri"/>
      </rPr>
      <t xml:space="preserve">
</t>
    </r>
    <r>
      <rPr>
        <sz val="11"/>
        <color rgb="FF000000"/>
        <rFont val="Calibri"/>
      </rPr>
      <t>This can be done individually by generating CSRs through the NSX Manager web interface &gt;&gt; System &gt;&gt; Settings &gt;&gt; Certificates &gt;&gt; CSRs &gt;&gt; Generate CSR or outside of NSX if a common manager and cluster certificate is desired.</t>
    </r>
    <r>
      <rPr>
        <sz val="11"/>
        <color rgb="FF000000"/>
        <rFont val="Calibri"/>
      </rPr>
      <t xml:space="preserve">
</t>
    </r>
    <r>
      <rPr>
        <sz val="11"/>
        <color rgb="FF000000"/>
        <rFont val="Calibri"/>
      </rPr>
      <t>Import the certificate(s) into NSX by doing the following:</t>
    </r>
    <r>
      <rPr>
        <sz val="11"/>
        <color rgb="FF000000"/>
        <rFont val="Calibri"/>
      </rPr>
      <t xml:space="preserve">
</t>
    </r>
    <r>
      <rPr>
        <sz val="11"/>
        <color rgb="FF000000"/>
        <rFont val="Calibri"/>
      </rPr>
      <t>From the NSX Manager web interface, go to System &gt;&gt; Settings &gt;&gt; Certificates &gt;&gt; Certificates &gt;&gt; Import &gt;&gt; Import Certificate. Provide a name for the certificate and paste the certificates contents and key.</t>
    </r>
    <r>
      <rPr>
        <sz val="11"/>
        <color rgb="FF000000"/>
        <rFont val="Calibri"/>
      </rPr>
      <t xml:space="preserve">
</t>
    </r>
    <r>
      <rPr>
        <sz val="11"/>
        <color rgb="FF000000"/>
        <rFont val="Calibri"/>
      </rPr>
      <t>Uncheck "Service Certificate" and click "Import".</t>
    </r>
    <r>
      <rPr>
        <sz val="11"/>
        <color rgb="FF000000"/>
        <rFont val="Calibri"/>
      </rPr>
      <t xml:space="preserve">
</t>
    </r>
    <r>
      <rPr>
        <sz val="11"/>
        <color rgb="FF000000"/>
        <rFont val="Calibri"/>
      </rPr>
      <t>After import, note the ID of the certificate(s).</t>
    </r>
    <r>
      <rPr>
        <sz val="11"/>
        <color rgb="FF000000"/>
        <rFont val="Calibri"/>
      </rPr>
      <t xml:space="preserve">
</t>
    </r>
    <r>
      <rPr>
        <sz val="11"/>
        <color rgb="FF000000"/>
        <rFont val="Calibri"/>
      </rPr>
      <t>Using curl or another REST API client, perform the following API calls and replace the certificate IDs noted in the previous steps.</t>
    </r>
    <r>
      <rPr>
        <sz val="11"/>
        <color rgb="FF000000"/>
        <rFont val="Calibri"/>
      </rPr>
      <t xml:space="preserve">
</t>
    </r>
    <r>
      <rPr>
        <sz val="11"/>
        <color rgb="FF000000"/>
        <rFont val="Calibri"/>
      </rPr>
      <t>To replace a managers certificate: POST https://&lt;nsx-mgr&gt;/api/v1/node/services/http?action=apply_certificate&amp;certificate_id=e61c7537-3090-4149-b2b6-19915c20504f</t>
    </r>
    <r>
      <rPr>
        <sz val="11"/>
        <color rgb="FF000000"/>
        <rFont val="Calibri"/>
      </rPr>
      <t xml:space="preserve">
</t>
    </r>
    <r>
      <rPr>
        <sz val="11"/>
        <color rgb="FF000000"/>
        <rFont val="Calibri"/>
      </rPr>
      <t>To replace the cluster certificate: POST https://&lt;nsx-mgr&gt;/api/v1/cluster/api-certificate?action=set_cluster_certificate&amp;certificate_id=d60c6a07-6e59-4873-8edb-339bf75711ac</t>
    </r>
    <r>
      <rPr>
        <sz val="11"/>
        <color rgb="FF000000"/>
        <rFont val="Calibri"/>
      </rPr>
      <t xml:space="preserve">
</t>
    </r>
    <r>
      <rPr>
        <sz val="11"/>
        <color rgb="FF000000"/>
        <rFont val="Calibri"/>
      </rPr>
      <t>Note: If an NSX Intelligence appliance is deployed with the NSX Manager cluster, update the NSX Manager node IP, certificate, and thumbprint information that is on the NSX Intelligence appliance. Refer to the VMware Knowledge Base article https://kb.vmware.com/s/article/78505 for more information.</t>
    </r>
  </si>
  <si>
    <r>
      <rPr>
        <sz val="11"/>
        <color rgb="FF000000"/>
        <rFont val="Calibri"/>
      </rPr>
      <t>For user certificates, each organization obtains certificates from an approved, shared service provider, as required by Office of Management and Budget (OMB) policy. For federal agencies operating a legacy public key infrastructure cross-certified with the Federal Bridge Certification Authority at medium assurance or higher, this Certification Authority will suffice.</t>
    </r>
  </si>
  <si>
    <r>
      <rPr>
        <sz val="11"/>
        <color rgb="FF000000"/>
        <rFont val="Calibri"/>
      </rPr>
      <t>NSX Manager uses a certificate for each manager and one for the cluster VIP. In some cases these are the same, but each node and cluster VIP certificate must be checked individually.</t>
    </r>
    <r>
      <rPr>
        <sz val="11"/>
        <color rgb="FF000000"/>
        <rFont val="Calibri"/>
      </rPr>
      <t xml:space="preserve">
</t>
    </r>
    <r>
      <rPr>
        <sz val="11"/>
        <color rgb="FF000000"/>
        <rFont val="Calibri"/>
      </rPr>
      <t>Browse to the NSX Manager web interface for each node and cluster VIP and view the certificate and its issuer of the website.</t>
    </r>
    <r>
      <rPr>
        <sz val="11"/>
        <color rgb="FF000000"/>
        <rFont val="Calibri"/>
      </rPr>
      <t xml:space="preserve">
</t>
    </r>
    <r>
      <rPr>
        <sz val="11"/>
        <color rgb="FF000000"/>
        <rFont val="Calibri"/>
      </rPr>
      <t>or</t>
    </r>
    <r>
      <rPr>
        <sz val="11"/>
        <color rgb="FF000000"/>
        <rFont val="Calibri"/>
      </rPr>
      <t xml:space="preserve">
</t>
    </r>
    <r>
      <rPr>
        <sz val="11"/>
        <color rgb="FF000000"/>
        <rFont val="Calibri"/>
      </rPr>
      <t>From an NSX Manager shell, run the following commands:</t>
    </r>
    <r>
      <rPr>
        <sz val="11"/>
        <color rgb="FF000000"/>
        <rFont val="Calibri"/>
      </rPr>
      <t xml:space="preserve">
</t>
    </r>
    <r>
      <rPr>
        <sz val="11"/>
        <color rgb="FF000000"/>
        <rFont val="Calibri"/>
      </rPr>
      <t>&gt; get certificate api</t>
    </r>
    <r>
      <rPr>
        <sz val="11"/>
        <color rgb="FF000000"/>
        <rFont val="Calibri"/>
      </rPr>
      <t xml:space="preserve">
</t>
    </r>
    <r>
      <rPr>
        <sz val="11"/>
        <color rgb="FF000000"/>
        <rFont val="Calibri"/>
      </rPr>
      <t>&gt; get certificate cluster</t>
    </r>
    <r>
      <rPr>
        <sz val="11"/>
        <color rgb="FF000000"/>
        <rFont val="Calibri"/>
      </rPr>
      <t xml:space="preserve">
</t>
    </r>
    <r>
      <rPr>
        <sz val="11"/>
        <color rgb="FF000000"/>
        <rFont val="Calibri"/>
      </rPr>
      <t>Save the output to a .cer file to examine.</t>
    </r>
    <r>
      <rPr>
        <sz val="11"/>
        <color rgb="FF000000"/>
        <rFont val="Calibri"/>
      </rPr>
      <t xml:space="preserve">
</t>
    </r>
    <r>
      <rPr>
        <sz val="11"/>
        <color rgb="FF000000"/>
        <rFont val="Calibri"/>
      </rPr>
      <t>If the certificate the NSX Manager web interface or cluster is using is not issued by an approved certificate authority and is not currently valid, this is a finding.</t>
    </r>
  </si>
  <si>
    <t>V-265352</t>
  </si>
  <si>
    <r>
      <rPr>
        <sz val="11"/>
        <rFont val="Calibri"/>
      </rPr>
      <t>The NSX Manager must be running a release that is currently supported by the vendor.</t>
    </r>
  </si>
  <si>
    <r>
      <rPr>
        <sz val="11"/>
        <color rgb="FF000000"/>
        <rFont val="Calibri"/>
      </rPr>
      <t>To upgrade NSX, reference the upgrade guide in the documentation for the relevant version being upgraded. Refer to the NSX documentation and release notes for information on the latest releases.</t>
    </r>
    <r>
      <rPr>
        <sz val="11"/>
        <color rgb="FF000000"/>
        <rFont val="Calibri"/>
      </rPr>
      <t xml:space="preserve">
</t>
    </r>
    <r>
      <rPr>
        <sz val="11"/>
        <color rgb="FF000000"/>
        <rFont val="Calibri"/>
      </rPr>
      <t>https://docs.vmware.com/en/VMware-NSX/index.html</t>
    </r>
    <r>
      <rPr>
        <sz val="11"/>
        <color rgb="FF000000"/>
        <rFont val="Calibri"/>
      </rPr>
      <t xml:space="preserve">
</t>
    </r>
    <r>
      <rPr>
        <sz val="11"/>
        <color rgb="FF000000"/>
        <rFont val="Calibri"/>
      </rPr>
      <t>If NSX is part of a VMware Cloud Foundation deployment, refer to that documentation for latest supported versions and upgrade guidance.</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</si>
  <si>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</si>
  <si>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From the NSX Manager web interface, go to the System &gt;&gt; Lifecycle Management &gt;&gt; Upgrade.</t>
    </r>
    <r>
      <rPr>
        <sz val="11"/>
        <color rgb="FF000000"/>
        <rFont val="Calibri"/>
      </rPr>
      <t xml:space="preserve">
</t>
    </r>
    <r>
      <rPr>
        <sz val="11"/>
        <color rgb="FF000000"/>
        <rFont val="Calibri"/>
      </rPr>
      <t>If the NSX Manager current version is not the latest approved for use in DOD and supported by the vendor, this is a finding.</t>
    </r>
  </si>
  <si>
    <t>V-265353</t>
  </si>
  <si>
    <r>
      <rPr>
        <sz val="11"/>
        <rFont val="Calibri"/>
      </rPr>
      <t>The NSX Manager must disable SSH.</t>
    </r>
  </si>
  <si>
    <r>
      <rPr>
        <sz val="11"/>
        <color rgb="FF000000"/>
        <rFont val="Calibri"/>
      </rPr>
      <t>From an NSX Manager shell, run the following command(s):</t>
    </r>
    <r>
      <rPr>
        <sz val="11"/>
        <color rgb="FF000000"/>
        <rFont val="Calibri"/>
      </rPr>
      <t xml:space="preserve">
</t>
    </r>
    <r>
      <rPr>
        <sz val="11"/>
        <color rgb="FF000000"/>
        <rFont val="Calibri"/>
      </rPr>
      <t>&gt; stop service ssh</t>
    </r>
    <r>
      <rPr>
        <sz val="11"/>
        <color rgb="FF000000"/>
        <rFont val="Calibri"/>
      </rPr>
      <t xml:space="preserve">
</t>
    </r>
    <r>
      <rPr>
        <sz val="11"/>
        <color rgb="FF000000"/>
        <rFont val="Calibri"/>
      </rPr>
      <t>&gt; clear service ssh start-on-boot</t>
    </r>
  </si>
  <si>
    <r>
      <rPr>
        <sz val="11"/>
        <color rgb="FF000000"/>
        <rFont val="Calibri"/>
      </rPr>
      <t>The NSX shell provides temporary access to commands essential for server maintenance. Intended primarily for use in break-fix scenarios, the NSX shell is well suited for checking and modifying configuration details, not always generally accessible, using the web interface. The NSX shell is accessible remotely using SSH. Under normal operating conditions, SSH access to the managers must be disabled as is the default. As with the NSX shell, SSH is also intended only for temporary use during break-fix scenarios. SSH must therefore be disabled under normal operating conditions and must only be enabled for diagnostics or troubleshooting. Remote access to the managers must therefore be limited to the web interface and API at all other times.</t>
    </r>
  </si>
  <si>
    <r>
      <rPr>
        <sz val="11"/>
        <color rgb="FF000000"/>
        <rFont val="Calibri"/>
      </rPr>
      <t>From an NSX Manager shell, run the following command:</t>
    </r>
    <r>
      <rPr>
        <sz val="11"/>
        <color rgb="FF000000"/>
        <rFont val="Calibri"/>
      </rPr>
      <t xml:space="preserve">
</t>
    </r>
    <r>
      <rPr>
        <sz val="11"/>
        <color rgb="FF000000"/>
        <rFont val="Calibri"/>
      </rPr>
      <t>&gt; get service ssh</t>
    </r>
    <r>
      <rPr>
        <sz val="11"/>
        <color rgb="FF000000"/>
        <rFont val="Calibri"/>
      </rPr>
      <t xml:space="preserve">
</t>
    </r>
    <r>
      <rPr>
        <sz val="11"/>
        <color rgb="FF000000"/>
        <rFont val="Calibri"/>
      </rPr>
      <t>Expected results:</t>
    </r>
    <r>
      <rPr>
        <sz val="11"/>
        <color rgb="FF000000"/>
        <rFont val="Calibri"/>
      </rPr>
      <t xml:space="preserve">
</t>
    </r>
    <r>
      <rPr>
        <sz val="11"/>
        <color rgb="FF000000"/>
        <rFont val="Calibri"/>
      </rPr>
      <t>Service name: ssh</t>
    </r>
    <r>
      <rPr>
        <sz val="11"/>
        <color rgb="FF000000"/>
        <rFont val="Calibri"/>
      </rPr>
      <t xml:space="preserve">
</t>
    </r>
    <r>
      <rPr>
        <sz val="11"/>
        <color rgb="FF000000"/>
        <rFont val="Calibri"/>
      </rPr>
      <t>Service state: stopped</t>
    </r>
    <r>
      <rPr>
        <sz val="11"/>
        <color rgb="FF000000"/>
        <rFont val="Calibri"/>
      </rPr>
      <t xml:space="preserve">
</t>
    </r>
    <r>
      <rPr>
        <sz val="11"/>
        <color rgb="FF000000"/>
        <rFont val="Calibri"/>
      </rPr>
      <t>Start on boot: False</t>
    </r>
    <r>
      <rPr>
        <sz val="11"/>
        <color rgb="FF000000"/>
        <rFont val="Calibri"/>
      </rPr>
      <t xml:space="preserve">
</t>
    </r>
    <r>
      <rPr>
        <sz val="11"/>
        <color rgb="FF000000"/>
        <rFont val="Calibri"/>
      </rPr>
      <t>If the SSH server is not stopped or starts on boot, this is a finding.</t>
    </r>
  </si>
  <si>
    <t>V-265354</t>
  </si>
  <si>
    <r>
      <rPr>
        <sz val="11"/>
        <rFont val="Calibri"/>
      </rPr>
      <t>The NSX Manager must disable SNMP v2.</t>
    </r>
  </si>
  <si>
    <r>
      <rPr>
        <sz val="11"/>
        <color rgb="FF000000"/>
        <rFont val="Calibri"/>
      </rPr>
      <t>From the NSX Manager web interface, go to the System &gt;&gt; Configuration &gt;&gt; Fabric &gt;&gt; Profiles &gt;&gt; Node Profiles.</t>
    </r>
    <r>
      <rPr>
        <sz val="11"/>
        <color rgb="FF000000"/>
        <rFont val="Calibri"/>
      </rPr>
      <t xml:space="preserve">
</t>
    </r>
    <r>
      <rPr>
        <sz val="11"/>
        <color rgb="FF000000"/>
        <rFont val="Calibri"/>
      </rPr>
      <t>Click on "All NSX Nodes" and delete and v2c Polling or Trap configurations.</t>
    </r>
  </si>
  <si>
    <r>
      <rPr>
        <sz val="11"/>
        <color rgb="FF000000"/>
        <rFont val="Calibri"/>
      </rPr>
      <t>SNMPv3 supports commercial-grade security, including authentication, authorization, access control, and privacy. Previous versions of the protocol contained well-known security weaknesses that were easily exploited. As such, SNMPv1/2 receivers must be disabled.</t>
    </r>
  </si>
  <si>
    <r>
      <rPr>
        <sz val="11"/>
        <color rgb="FF000000"/>
        <rFont val="Calibri"/>
      </rPr>
      <t>From the NSX Manager web interface, go to the System &gt;&gt; Configuration &gt;&gt; Fabric &gt;&gt; Profiles &gt;&gt; Node Profiles.</t>
    </r>
    <r>
      <rPr>
        <sz val="11"/>
        <color rgb="FF000000"/>
        <rFont val="Calibri"/>
      </rPr>
      <t xml:space="preserve">
</t>
    </r>
    <r>
      <rPr>
        <sz val="11"/>
        <color rgb="FF000000"/>
        <rFont val="Calibri"/>
      </rPr>
      <t>Click "All NSX Nodes" and view the SNMP Polling and Traps configuration.</t>
    </r>
    <r>
      <rPr>
        <sz val="11"/>
        <color rgb="FF000000"/>
        <rFont val="Calibri"/>
      </rPr>
      <t xml:space="preserve">
</t>
    </r>
    <r>
      <rPr>
        <sz val="11"/>
        <color rgb="FF000000"/>
        <rFont val="Calibri"/>
      </rPr>
      <t>If SNMP v2c Polling or Traps are configured, this is a finding.</t>
    </r>
  </si>
  <si>
    <t>V-265355</t>
  </si>
  <si>
    <r>
      <rPr>
        <sz val="11"/>
        <rFont val="Calibri"/>
      </rPr>
      <t>The NSX Manager must enable the global FIPS compliance mode for load balancers.</t>
    </r>
  </si>
  <si>
    <r>
      <rPr>
        <sz val="11"/>
        <color rgb="FF000000"/>
        <rFont val="Calibri"/>
      </rPr>
      <t>Execute the following API call using curl or another REST API client:</t>
    </r>
    <r>
      <rPr>
        <sz val="11"/>
        <color rgb="FF000000"/>
        <rFont val="Calibri"/>
      </rPr>
      <t xml:space="preserve">
</t>
    </r>
    <r>
      <rPr>
        <sz val="11"/>
        <color rgb="FF000000"/>
        <rFont val="Calibri"/>
      </rPr>
      <t>PUT https://&lt;nsx-mgr&gt;/policy/api/v1/infra/global-config</t>
    </r>
    <r>
      <rPr>
        <sz val="11"/>
        <color rgb="FF000000"/>
        <rFont val="Calibri"/>
      </rPr>
      <t xml:space="preserve">
</t>
    </r>
    <r>
      <rPr>
        <sz val="11"/>
        <color rgb="FF000000"/>
        <rFont val="Calibri"/>
      </rPr>
      <t>Example request body:</t>
    </r>
    <r>
      <rPr>
        <sz val="11"/>
        <color rgb="FF000000"/>
        <rFont val="Calibri"/>
      </rPr>
      <t xml:space="preserve">
</t>
    </r>
    <r>
      <rPr>
        <sz val="11"/>
        <color rgb="FF000000"/>
        <rFont val="Calibri"/>
      </rPr>
      <t>{</t>
    </r>
    <r>
      <rPr>
        <sz val="11"/>
        <color rgb="FF000000"/>
        <rFont val="Calibri"/>
      </rPr>
      <t xml:space="preserve">
</t>
    </r>
    <r>
      <rPr>
        <sz val="11"/>
        <color rgb="FF000000"/>
        <rFont val="Calibri"/>
      </rPr>
      <t>"fips": {</t>
    </r>
    <r>
      <rPr>
        <sz val="11"/>
        <color rgb="FF000000"/>
        <rFont val="Calibri"/>
      </rPr>
      <t xml:space="preserve">
</t>
    </r>
    <r>
      <rPr>
        <sz val="11"/>
        <color rgb="FF000000"/>
        <rFont val="Calibri"/>
      </rPr>
      <t>"lb_fips_enabled": true</t>
    </r>
    <r>
      <rPr>
        <sz val="11"/>
        <color rgb="FF000000"/>
        <rFont val="Calibri"/>
      </rPr>
      <t xml:space="preserve">
</t>
    </r>
    <r>
      <rPr>
        <sz val="11"/>
        <color rgb="FF000000"/>
        <rFont val="Calibri"/>
      </rPr>
      <t>},</t>
    </r>
    <r>
      <rPr>
        <sz val="11"/>
        <color rgb="FF000000"/>
        <rFont val="Calibri"/>
      </rPr>
      <t xml:space="preserve">
</t>
    </r>
    <r>
      <rPr>
        <sz val="11"/>
        <color rgb="FF000000"/>
        <rFont val="Calibri"/>
      </rPr>
      <t>"resource_type": "GlobalConfig",</t>
    </r>
    <r>
      <rPr>
        <sz val="11"/>
        <color rgb="FF000000"/>
        <rFont val="Calibri"/>
      </rPr>
      <t xml:space="preserve">
</t>
    </r>
    <r>
      <rPr>
        <sz val="11"/>
        <color rgb="FF000000"/>
        <rFont val="Calibri"/>
      </rPr>
      <t>"_revision": 2</t>
    </r>
    <r>
      <rPr>
        <sz val="11"/>
        <color rgb="FF000000"/>
        <rFont val="Calibri"/>
      </rPr>
      <t xml:space="preserve">
</t>
    </r>
    <r>
      <rPr>
        <sz val="11"/>
        <color rgb="FF000000"/>
        <rFont val="Calibri"/>
      </rPr>
      <t>}</t>
    </r>
    <r>
      <rPr>
        <sz val="11"/>
        <color rgb="FF000000"/>
        <rFont val="Calibri"/>
      </rPr>
      <t xml:space="preserve">
</t>
    </r>
    <r>
      <rPr>
        <sz val="11"/>
        <color rgb="FF000000"/>
        <rFont val="Calibri"/>
      </rPr>
      <t>The global setting is used when the new load balancer instances are created. Changing the setting does not affect existing load balancer instances.</t>
    </r>
    <r>
      <rPr>
        <sz val="11"/>
        <color rgb="FF000000"/>
        <rFont val="Calibri"/>
      </rPr>
      <t xml:space="preserve">
</t>
    </r>
    <r>
      <rPr>
        <sz val="11"/>
        <color rgb="FF000000"/>
        <rFont val="Calibri"/>
      </rPr>
      <t>To update existing load balancers to use this setting, do the following:</t>
    </r>
    <r>
      <rPr>
        <sz val="11"/>
        <color rgb="FF000000"/>
        <rFont val="Calibri"/>
      </rPr>
      <t xml:space="preserve">
</t>
    </r>
    <r>
      <rPr>
        <sz val="11"/>
        <color rgb="FF000000"/>
        <rFont val="Calibri"/>
      </rPr>
      <t>From the NSX Manager web interface, go to the Networking &gt;&gt; Load Balancing and then click "Edit" on the target load balancer.</t>
    </r>
    <r>
      <rPr>
        <sz val="11"/>
        <color rgb="FF000000"/>
        <rFont val="Calibri"/>
      </rPr>
      <t xml:space="preserve">
</t>
    </r>
    <r>
      <rPr>
        <sz val="11"/>
        <color rgb="FF000000"/>
        <rFont val="Calibri"/>
      </rPr>
      <t>In the attachment field, click the "X" to detach the load balancer from its current Gateway and click "Save".</t>
    </r>
    <r>
      <rPr>
        <sz val="11"/>
        <color rgb="FF000000"/>
        <rFont val="Calibri"/>
      </rPr>
      <t xml:space="preserve">
</t>
    </r>
    <r>
      <rPr>
        <sz val="11"/>
        <color rgb="FF000000"/>
        <rFont val="Calibri"/>
      </rPr>
      <t>Edit the target load balancer again, reattach it to its Gateway, and then click "Save".</t>
    </r>
    <r>
      <rPr>
        <sz val="11"/>
        <color rgb="FF000000"/>
        <rFont val="Calibri"/>
      </rPr>
      <t xml:space="preserve">
</t>
    </r>
    <r>
      <rPr>
        <sz val="11"/>
        <color rgb="FF000000"/>
        <rFont val="Calibri"/>
      </rPr>
      <t>Caution: Detaching a load balancer from the Tier-1 gateway results in a traffic interruption for the load balancer instance.</t>
    </r>
  </si>
  <si>
    <r>
      <rPr>
        <sz val="11"/>
        <color rgb="FF000000"/>
        <rFont val="Calibri"/>
      </rPr>
      <t>If unsecured protocols (lacking cryptographic mechanisms) are used for load balancing, the contents of those sessions will be susceptible to eavesdropping, potentially putting sensitive data at risk of compromise.</t>
    </r>
  </si>
  <si>
    <r>
      <rPr>
        <sz val="11"/>
        <color rgb="FF000000"/>
        <rFont val="Calibri"/>
      </rPr>
      <t>From the NSX Manager web interface, go to the Home &gt;&gt; Monitoring Dashboards &gt;&gt; Compliance Report.</t>
    </r>
    <r>
      <rPr>
        <sz val="11"/>
        <color rgb="FF000000"/>
        <rFont val="Calibri"/>
      </rPr>
      <t xml:space="preserve">
</t>
    </r>
    <r>
      <rPr>
        <sz val="11"/>
        <color rgb="FF000000"/>
        <rFont val="Calibri"/>
      </rPr>
      <t>Review the compliance report for code 72024 with description load balancer FIPS global setting disabled.</t>
    </r>
    <r>
      <rPr>
        <sz val="11"/>
        <color rgb="FF000000"/>
        <rFont val="Calibri"/>
      </rPr>
      <t xml:space="preserve">
</t>
    </r>
    <r>
      <rPr>
        <sz val="11"/>
        <color rgb="FF000000"/>
        <rFont val="Calibri"/>
      </rPr>
      <t>Note: This may also be checked via the API call GET https://&lt;nsx-mgr&gt;/policy/api/v1/infra/global-config</t>
    </r>
    <r>
      <rPr>
        <sz val="11"/>
        <color rgb="FF000000"/>
        <rFont val="Calibri"/>
      </rPr>
      <t xml:space="preserve">
</t>
    </r>
    <r>
      <rPr>
        <sz val="11"/>
        <color rgb="FF000000"/>
        <rFont val="Calibri"/>
      </rPr>
      <t>If the global FIPS setting is disabled for load balancers, this is a finding.</t>
    </r>
  </si>
  <si>
    <t>V-265358</t>
  </si>
  <si>
    <r>
      <rPr>
        <sz val="11"/>
        <rFont val="Calibri"/>
      </rPr>
      <t>The NSX Manager must be configured as a cluster.</t>
    </r>
  </si>
  <si>
    <r>
      <rPr>
        <sz val="11"/>
        <color rgb="FF000000"/>
        <rFont val="Calibri"/>
      </rPr>
      <t>To add additional NSX Manager appliances do the following:</t>
    </r>
    <r>
      <rPr>
        <sz val="11"/>
        <color rgb="FF000000"/>
        <rFont val="Calibri"/>
      </rPr>
      <t xml:space="preserve">
</t>
    </r>
    <r>
      <rPr>
        <sz val="11"/>
        <color rgb="FF000000"/>
        <rFont val="Calibri"/>
      </rPr>
      <t>From the NSX Manager web interface, go to System &gt;&gt; Configuration &gt;&gt; Appliances, and then click "Add NSX Appliance".</t>
    </r>
    <r>
      <rPr>
        <sz val="11"/>
        <color rgb="FF000000"/>
        <rFont val="Calibri"/>
      </rPr>
      <t xml:space="preserve">
</t>
    </r>
    <r>
      <rPr>
        <sz val="11"/>
        <color rgb="FF000000"/>
        <rFont val="Calibri"/>
      </rPr>
      <t>Supply the required information to add additional nodes as needed, up to three total.</t>
    </r>
    <r>
      <rPr>
        <sz val="11"/>
        <color rgb="FF000000"/>
        <rFont val="Calibri"/>
      </rPr>
      <t xml:space="preserve">
</t>
    </r>
    <r>
      <rPr>
        <sz val="11"/>
        <color rgb="FF000000"/>
        <rFont val="Calibri"/>
      </rPr>
      <t>To configure NSX with a cluster VIP or external load balancer, do the following:</t>
    </r>
    <r>
      <rPr>
        <sz val="11"/>
        <color rgb="FF000000"/>
        <rFont val="Calibri"/>
      </rPr>
      <t xml:space="preserve">
</t>
    </r>
    <r>
      <rPr>
        <sz val="11"/>
        <color rgb="FF000000"/>
        <rFont val="Calibri"/>
      </rPr>
      <t>From the NSX Manager web interface, go to System &gt;&gt; Configuration &gt;&gt; Appliances, and then click "Set Virtual IP", enter a VIP that is part of the same subnet as the other management nodes, and then click "Save".</t>
    </r>
    <r>
      <rPr>
        <sz val="11"/>
        <color rgb="FF000000"/>
        <rFont val="Calibri"/>
      </rPr>
      <t xml:space="preserve">
</t>
    </r>
    <r>
      <rPr>
        <sz val="11"/>
        <color rgb="FF000000"/>
        <rFont val="Calibri"/>
      </rPr>
      <t>To configure NSX with an external load balancer, setup an external load balancer with the following requirements:</t>
    </r>
    <r>
      <rPr>
        <sz val="11"/>
        <color rgb="FF000000"/>
        <rFont val="Calibri"/>
      </rPr>
      <t xml:space="preserve">
</t>
    </r>
    <r>
      <rPr>
        <sz val="11"/>
        <color rgb="FF000000"/>
        <rFont val="Calibri"/>
      </rPr>
      <t>- Configure the external load balancer to control traffic to the NSX Manager nodes.</t>
    </r>
    <r>
      <rPr>
        <sz val="11"/>
        <color rgb="FF000000"/>
        <rFont val="Calibri"/>
      </rPr>
      <t xml:space="preserve">
</t>
    </r>
    <r>
      <rPr>
        <sz val="11"/>
        <color rgb="FF000000"/>
        <rFont val="Calibri"/>
      </rPr>
      <t>- Configure the external load balancer to use the round robin method and configure source persistence for the load balancer's virtual IP.</t>
    </r>
    <r>
      <rPr>
        <sz val="11"/>
        <color rgb="FF000000"/>
        <rFont val="Calibri"/>
      </rPr>
      <t xml:space="preserve">
</t>
    </r>
    <r>
      <rPr>
        <sz val="11"/>
        <color rgb="FF000000"/>
        <rFont val="Calibri"/>
      </rPr>
      <t>- Create or import a signed certificate and apply the same certificate to all the NSX Manager nodes. The certificate must have the FQDN of the virtual IP and each of the nodes in the SAN.</t>
    </r>
    <r>
      <rPr>
        <sz val="11"/>
        <color rgb="FF000000"/>
        <rFont val="Calibri"/>
      </rPr>
      <t xml:space="preserve">
</t>
    </r>
    <r>
      <rPr>
        <sz val="11"/>
        <color rgb="FF000000"/>
        <rFont val="Calibri"/>
      </rPr>
      <t>Note: An external load balancer will not work with the NSX Manager VIP. Do not configure an NSX Manager VIP if using an external load balancer.</t>
    </r>
    <r>
      <rPr>
        <sz val="11"/>
        <color rgb="FF000000"/>
        <rFont val="Calibri"/>
      </rPr>
      <t xml:space="preserve">
</t>
    </r>
    <r>
      <rPr>
        <sz val="11"/>
        <color rgb="FF000000"/>
        <rFont val="Calibri"/>
      </rPr>
      <t>If the cluster status is not in a healthy state, identify the degraded component on the appliance and troubleshoot the issue with the error information provided.</t>
    </r>
  </si>
  <si>
    <r>
      <rPr>
        <sz val="11"/>
        <color rgb="FF000000"/>
        <rFont val="Calibri"/>
      </rPr>
      <t>Failure in a known state can address safety or security in accordance with the mission needs of the organization. Failure to a known secure state helps prevent a loss of confidentiality, integrity, or availability in the event of a failure of the SDN controller. Preserving network element state information helps to facilitate continuous network operations minimal or no disruption to mission-essential workload processes and flows.</t>
    </r>
  </si>
  <si>
    <r>
      <rPr>
        <sz val="11"/>
        <color rgb="FF000000"/>
        <rFont val="Calibri"/>
      </rPr>
      <t>From the NSX Manager web interface, go to System &gt;&gt; Configuration &gt;&gt; Appliances.</t>
    </r>
    <r>
      <rPr>
        <sz val="11"/>
        <color rgb="FF000000"/>
        <rFont val="Calibri"/>
      </rPr>
      <t xml:space="preserve">
</t>
    </r>
    <r>
      <rPr>
        <sz val="11"/>
        <color rgb="FF000000"/>
        <rFont val="Calibri"/>
      </rPr>
      <t>Verify three NSX Managers are deployed, a VIP or external load balancer is configured, and the cluster is in a healthy state.</t>
    </r>
    <r>
      <rPr>
        <sz val="11"/>
        <color rgb="FF000000"/>
        <rFont val="Calibri"/>
      </rPr>
      <t xml:space="preserve">
</t>
    </r>
    <r>
      <rPr>
        <sz val="11"/>
        <color rgb="FF000000"/>
        <rFont val="Calibri"/>
      </rPr>
      <t>If three NSX Managers are not deployed, a VIP or external load balancer is not configured, and the cluster is not in a healthy state, this is a finding.</t>
    </r>
  </si>
  <si>
    <t>V-265359</t>
  </si>
  <si>
    <r>
      <rPr>
        <sz val="11"/>
        <rFont val="Calibri"/>
      </rPr>
      <t>The NSX Managers must be deployed on separate physical hosts.</t>
    </r>
  </si>
  <si>
    <r>
      <rPr>
        <sz val="11"/>
        <color rgb="FF000000"/>
        <rFont val="Calibri"/>
      </rPr>
      <t>This fix must be performed in vCenter.</t>
    </r>
    <r>
      <rPr>
        <sz val="11"/>
        <color rgb="FF000000"/>
        <rFont val="Calibri"/>
      </rPr>
      <t xml:space="preserve">
</t>
    </r>
    <r>
      <rPr>
        <sz val="11"/>
        <color rgb="FF000000"/>
        <rFont val="Calibri"/>
      </rPr>
      <t>From the vSphere Client, go to Administration &gt;&gt; Hosts and Clusters &gt;&gt; Select the cluster where the NSX Managers are deployed &gt;&gt; Configure &gt;&gt; Configuration &gt;&gt; VM/Host Rules.</t>
    </r>
    <r>
      <rPr>
        <sz val="11"/>
        <color rgb="FF000000"/>
        <rFont val="Calibri"/>
      </rPr>
      <t xml:space="preserve">
</t>
    </r>
    <r>
      <rPr>
        <sz val="11"/>
        <color rgb="FF000000"/>
        <rFont val="Calibri"/>
      </rPr>
      <t>Click "Add" to create a new rule.</t>
    </r>
    <r>
      <rPr>
        <sz val="11"/>
        <color rgb="FF000000"/>
        <rFont val="Calibri"/>
      </rPr>
      <t xml:space="preserve">
</t>
    </r>
    <r>
      <rPr>
        <sz val="11"/>
        <color rgb="FF000000"/>
        <rFont val="Calibri"/>
      </rPr>
      <t>Provide a name and select "Separate Virtual Machines" under Type.</t>
    </r>
    <r>
      <rPr>
        <sz val="11"/>
        <color rgb="FF000000"/>
        <rFont val="Calibri"/>
      </rPr>
      <t xml:space="preserve">
</t>
    </r>
    <r>
      <rPr>
        <sz val="11"/>
        <color rgb="FF000000"/>
        <rFont val="Calibri"/>
      </rPr>
      <t>Add the three NSX Manager virtual machines to the list and click "OK".</t>
    </r>
  </si>
  <si>
    <r>
      <rPr>
        <sz val="11"/>
        <color rgb="FF000000"/>
        <rFont val="Calibri"/>
      </rPr>
      <t>SDN relies heavily on control messages between a controller and the forwarding devices for network convergence. The controller uses node and link state discovery information to calculate and determine optimum pathing within the SDN network infrastructure based on application, business, and security policies. Operating in the proactive flow instantiation mode, the SDN controller populates forwarding tables to the SDN-aware forwarding devices. At times, the SDN controller must function in reactive flow instantiation mode; that is, when a forwarding device receives a packet for a flow not found in its forwarding table, it must send it to the controller to receive forwarding instructions.</t>
    </r>
    <r>
      <rPr>
        <sz val="11"/>
        <color rgb="FF000000"/>
        <rFont val="Calibri"/>
      </rPr>
      <t xml:space="preserve">
</t>
    </r>
    <r>
      <rPr>
        <sz val="11"/>
        <color rgb="FF000000"/>
        <rFont val="Calibri"/>
      </rPr>
      <t>With total dependence on the SDN controller for determining forwarding decisions and path optimization within the SDN infrastructure for both proactive and reactive flow modes of operation, having a single point of failure is not acceptable. A controller failure with no failover backup leaves the network in an unmanaged state. Hence, it is imperative that the SDN controllers are deployed as clusters on separate physical hosts to guarantee high network availability.</t>
    </r>
  </si>
  <si>
    <r>
      <rPr>
        <sz val="11"/>
        <color rgb="FF000000"/>
        <rFont val="Calibri"/>
      </rPr>
      <t>This check must be performed in vCenter.</t>
    </r>
    <r>
      <rPr>
        <sz val="11"/>
        <color rgb="FF000000"/>
        <rFont val="Calibri"/>
      </rPr>
      <t xml:space="preserve">
</t>
    </r>
    <r>
      <rPr>
        <sz val="11"/>
        <color rgb="FF000000"/>
        <rFont val="Calibri"/>
      </rPr>
      <t>From the vSphere Client, go to Administration &gt;&gt; Hosts and Clusters &gt;&gt; Select the cluster where the NSX Managers are deployed &gt;&gt; Configure &gt;&gt; Configuration &gt;&gt; VM/Host Rules.</t>
    </r>
    <r>
      <rPr>
        <sz val="11"/>
        <color rgb="FF000000"/>
        <rFont val="Calibri"/>
      </rPr>
      <t xml:space="preserve">
</t>
    </r>
    <r>
      <rPr>
        <sz val="11"/>
        <color rgb="FF000000"/>
        <rFont val="Calibri"/>
      </rPr>
      <t>If the NSX Manager cluster does not have rules applied to it that separate the nodes onto different physical hosts, this is a finding.</t>
    </r>
  </si>
  <si>
    <t>V-265362</t>
  </si>
  <si>
    <r>
      <rPr>
        <sz val="11"/>
        <rFont val="Calibri"/>
      </rPr>
      <t>The NSX Tier-0 Gateway Firewall must generate traffic log entries.</t>
    </r>
  </si>
  <si>
    <t>Tier-0 Gateway Firewall</t>
  </si>
  <si>
    <r>
      <rPr>
        <sz val="11"/>
        <color rgb="FF000000"/>
        <rFont val="Calibri"/>
      </rPr>
      <t>From the NSX Manager web interface, go to Security &gt;&gt; Policy Management &gt;&gt; Gateway Firewall &gt;&gt; Gateway Specific Rules.</t>
    </r>
    <r>
      <rPr>
        <sz val="11"/>
        <color rgb="FF000000"/>
        <rFont val="Calibri"/>
      </rPr>
      <t xml:space="preserve">
</t>
    </r>
    <r>
      <rPr>
        <sz val="11"/>
        <color rgb="FF000000"/>
        <rFont val="Calibri"/>
      </rPr>
      <t>For each Tier-0 Gateway and for each rule with logging disabled, click the gear icon, enable logging, and then click "Apply".</t>
    </r>
    <r>
      <rPr>
        <sz val="11"/>
        <color rgb="FF000000"/>
        <rFont val="Calibri"/>
      </rPr>
      <t xml:space="preserve">
</t>
    </r>
    <r>
      <rPr>
        <sz val="11"/>
        <color rgb="FF000000"/>
        <rFont val="Calibri"/>
      </rPr>
      <t>After all changes are made, click "Publish".</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</si>
  <si>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Audit event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network element logs provides a means of investigating an attack, recognizing resource usage or capacity thresholds, or identifying an improperly configured network element.</t>
    </r>
    <r>
      <rPr>
        <sz val="11"/>
        <color rgb="FF000000"/>
        <rFont val="Calibri"/>
      </rPr>
      <t xml:space="preserve">
</t>
    </r>
    <r>
      <rPr>
        <sz val="11"/>
        <color rgb="FF000000"/>
        <rFont val="Calibri"/>
      </rPr>
      <t>Satisfies: SRG-NET-000074-FW-000009, SRG-NET-000061-FW-000001, SRG-NET-000075-FW-000010, SRG-NET-000076-FW-000011, SRG-NET-000077-FW-000012, SRG-NET-000078-FW-000013, SRG-NET-000492-FW-000006, SRG-NET-000493-FW-000007</t>
    </r>
  </si>
  <si>
    <r>
      <rPr>
        <sz val="11"/>
        <color rgb="FF000000"/>
        <rFont val="Calibri"/>
      </rPr>
      <t>If the Tier-0 Gateway is deployed in an Active/Active HA mode and no stateless rules exist, this is Not Applicable.</t>
    </r>
    <r>
      <rPr>
        <sz val="11"/>
        <color rgb="FF000000"/>
        <rFont val="Calibri"/>
      </rPr>
      <t xml:space="preserve">
</t>
    </r>
    <r>
      <rPr>
        <sz val="11"/>
        <color rgb="FF000000"/>
        <rFont val="Calibri"/>
      </rPr>
      <t>From the NSX Manager web interface, go to Security &gt;&gt; Policy Management &gt;&gt; Gateway Firewall &gt;&gt; Gateway Specific Rules.</t>
    </r>
    <r>
      <rPr>
        <sz val="11"/>
        <color rgb="FF000000"/>
        <rFont val="Calibri"/>
      </rPr>
      <t xml:space="preserve">
</t>
    </r>
    <r>
      <rPr>
        <sz val="11"/>
        <color rgb="FF000000"/>
        <rFont val="Calibri"/>
      </rPr>
      <t>For each Tier-0 Gateway and for each rule, click the gear icon and verify the logging setting.</t>
    </r>
    <r>
      <rPr>
        <sz val="11"/>
        <color rgb="FF000000"/>
        <rFont val="Calibri"/>
      </rPr>
      <t xml:space="preserve">
</t>
    </r>
    <r>
      <rPr>
        <sz val="11"/>
        <color rgb="FF000000"/>
        <rFont val="Calibri"/>
      </rPr>
      <t>If logging is not enabled, this is a finding.</t>
    </r>
  </si>
  <si>
    <t>V-265367</t>
  </si>
  <si>
    <r>
      <rPr>
        <sz val="11"/>
        <rFont val="Calibri"/>
      </rPr>
      <t>The NSX Tier-0 Gateway Firewall must manage excess bandwidth to limit the effects of packet flooding types of denial-of-service (DoS) attacks.</t>
    </r>
  </si>
  <si>
    <r>
      <rPr>
        <sz val="11"/>
        <color rgb="FF000000"/>
        <rFont val="Calibri"/>
      </rPr>
      <t>To create a new Flood Protection profile, do the following:</t>
    </r>
    <r>
      <rPr>
        <sz val="11"/>
        <color rgb="FF000000"/>
        <rFont val="Calibri"/>
      </rPr>
      <t xml:space="preserve">
</t>
    </r>
    <r>
      <rPr>
        <sz val="11"/>
        <color rgb="FF000000"/>
        <rFont val="Calibri"/>
      </rPr>
      <t>From the NSX Manager web interface, go to Security &gt;&gt; Settings &gt;&gt; General Settings &gt;&gt; Firewall &gt;&gt; Flood Protection &gt;&gt; Add Profile &gt;&gt; Add Edge Gateway Profile.</t>
    </r>
    <r>
      <rPr>
        <sz val="11"/>
        <color rgb="FF000000"/>
        <rFont val="Calibri"/>
      </rPr>
      <t xml:space="preserve">
</t>
    </r>
    <r>
      <rPr>
        <sz val="11"/>
        <color rgb="FF000000"/>
        <rFont val="Calibri"/>
      </rPr>
      <t>Enter a name and specify appropriate values for the following: TCP Half Open Connection limit, UDP Active Flow Limit, ICMP Active Flow Limit, and Other Active Connection Limit.</t>
    </r>
    <r>
      <rPr>
        <sz val="11"/>
        <color rgb="FF000000"/>
        <rFont val="Calibri"/>
      </rPr>
      <t xml:space="preserve">
</t>
    </r>
    <r>
      <rPr>
        <sz val="11"/>
        <color rgb="FF000000"/>
        <rFont val="Calibri"/>
      </rPr>
      <t>Configure the "Applied To" field to contain Tier-0 Gateways, and then click "Save".</t>
    </r>
  </si>
  <si>
    <r>
      <rPr>
        <sz val="11"/>
        <color rgb="FF000000"/>
        <rFont val="Calibri"/>
      </rPr>
      <t>A firewall experiencing a DoS attack will not be able to handle production traffic load. The high usage and CPU caused by a DoS attack will impact control of keep-alives and timers used for neighbor peering. This will result in route flapping and will eventually black hole production traffic.</t>
    </r>
    <r>
      <rPr>
        <sz val="11"/>
        <color rgb="FF000000"/>
        <rFont val="Calibri"/>
      </rPr>
      <t xml:space="preserve">
</t>
    </r>
    <r>
      <rPr>
        <sz val="11"/>
        <color rgb="FF000000"/>
        <rFont val="Calibri"/>
      </rPr>
      <t>The device must be configured to contain and limit a DoS attack's effect on the device's resource usage. The use of redundant components and load balancing are examples of mitigating "flood-type" DoS attacks through increased capacity.</t>
    </r>
    <r>
      <rPr>
        <sz val="11"/>
        <color rgb="FF000000"/>
        <rFont val="Calibri"/>
      </rPr>
      <t xml:space="preserve">
</t>
    </r>
    <r>
      <rPr>
        <sz val="11"/>
        <color rgb="FF000000"/>
        <rFont val="Calibri"/>
      </rPr>
      <t>Satisfies: SRG-NET-000193-FW-000030, SRG-NET-000192-FW-000029, SRG-NET-000362-FW-000028</t>
    </r>
  </si>
  <si>
    <r>
      <rPr>
        <sz val="11"/>
        <color rgb="FF000000"/>
        <rFont val="Calibri"/>
      </rPr>
      <t>If the Tier-0 Gateway is deployed in an Active/Active HA mode and no stateless rules exist, this is Not Applicable.</t>
    </r>
    <r>
      <rPr>
        <sz val="11"/>
        <color rgb="FF000000"/>
        <rFont val="Calibri"/>
      </rPr>
      <t xml:space="preserve">
</t>
    </r>
    <r>
      <rPr>
        <sz val="11"/>
        <color rgb="FF000000"/>
        <rFont val="Calibri"/>
      </rPr>
      <t>From the NSX Manager web interface, go to Security &gt;&gt; Settings &gt;&gt; General Settings &gt;&gt; Firewall &gt;&gt; Flood Protection to view Flood Protection profiles.</t>
    </r>
    <r>
      <rPr>
        <sz val="11"/>
        <color rgb="FF000000"/>
        <rFont val="Calibri"/>
      </rPr>
      <t xml:space="preserve">
</t>
    </r>
    <r>
      <rPr>
        <sz val="11"/>
        <color rgb="FF000000"/>
        <rFont val="Calibri"/>
      </rPr>
      <t>If there are no Flood Protection profiles of type "Gateway", this is a finding.</t>
    </r>
    <r>
      <rPr>
        <sz val="11"/>
        <color rgb="FF000000"/>
        <rFont val="Calibri"/>
      </rPr>
      <t xml:space="preserve">
</t>
    </r>
    <r>
      <rPr>
        <sz val="11"/>
        <color rgb="FF000000"/>
        <rFont val="Calibri"/>
      </rPr>
      <t>For each gateway flood protection profile, if TCP Half Open Connection limit, UDP Active Flow Limit, ICMP Active Flow Limit, and Other Active Connection Limit are set to "None", this is a finding.</t>
    </r>
    <r>
      <rPr>
        <sz val="11"/>
        <color rgb="FF000000"/>
        <rFont val="Calibri"/>
      </rPr>
      <t xml:space="preserve">
</t>
    </r>
    <r>
      <rPr>
        <sz val="11"/>
        <color rgb="FF000000"/>
        <rFont val="Calibri"/>
      </rPr>
      <t>For each gateway flood protection profile, examine the "Applied To" field to view the Tier-0 Gateways to which it is applied.</t>
    </r>
    <r>
      <rPr>
        <sz val="11"/>
        <color rgb="FF000000"/>
        <rFont val="Calibri"/>
      </rPr>
      <t xml:space="preserve">
</t>
    </r>
    <r>
      <rPr>
        <sz val="11"/>
        <color rgb="FF000000"/>
        <rFont val="Calibri"/>
      </rPr>
      <t>If a gateway flood protection profile is not applied to all applicable Tier-0 Gateways through one or more policies, this is a finding.</t>
    </r>
  </si>
  <si>
    <t>V-265368</t>
  </si>
  <si>
    <r>
      <rPr>
        <sz val="11"/>
        <rFont val="Calibri"/>
      </rPr>
      <t>The NSX Tier-0 Gateway Firewall must deny network communications traffic by default and allow network communications traffic by exception.</t>
    </r>
  </si>
  <si>
    <r>
      <rPr>
        <sz val="11"/>
        <color rgb="FF000000"/>
        <rFont val="Calibri"/>
      </rPr>
      <t>From the NSX Manager web interface, go to Security &gt;&gt; Policy Management &gt;&gt; Gateway Firewall &gt;&gt; Gateway Specific Rules.</t>
    </r>
    <r>
      <rPr>
        <sz val="11"/>
        <color rgb="FF000000"/>
        <rFont val="Calibri"/>
      </rPr>
      <t xml:space="preserve">
</t>
    </r>
    <r>
      <rPr>
        <sz val="11"/>
        <color rgb="FF000000"/>
        <rFont val="Calibri"/>
      </rPr>
      <t>Choose each Tier-0 Gateway in drop-down, then select Policy_Default_Infra Section &gt;&gt; Action.</t>
    </r>
    <r>
      <rPr>
        <sz val="11"/>
        <color rgb="FF000000"/>
        <rFont val="Calibri"/>
      </rPr>
      <t xml:space="preserve">
</t>
    </r>
    <r>
      <rPr>
        <sz val="11"/>
        <color rgb="FF000000"/>
        <rFont val="Calibri"/>
      </rPr>
      <t>Change the Action to "Drop" or "Reject", and then click "Publish".</t>
    </r>
  </si>
  <si>
    <r>
      <rPr>
        <sz val="11"/>
        <color rgb="FF000000"/>
        <rFont val="Calibri"/>
      </rPr>
      <t>To prevent malicious or accidental leakage of traffic, organizations must implement a deny-by-default security posture at the network perimeter. Such rulesets prevent many malicious exploits or accidental leakage by restricting the traffic to only known sources and only those ports, protocols, or services that are permitted and operationally necessary.</t>
    </r>
    <r>
      <rPr>
        <sz val="11"/>
        <color rgb="FF000000"/>
        <rFont val="Calibri"/>
      </rPr>
      <t xml:space="preserve">
</t>
    </r>
    <r>
      <rPr>
        <sz val="11"/>
        <color rgb="FF000000"/>
        <rFont val="Calibri"/>
      </rPr>
      <t>As a managed boundary interface, the firewall must block all inbound and outbound network traffic unless a filter is installed to explicitly allow it. The allow filters must comply with the Ports, Protocols, and Services Management (PPSM) Category Assurance List (CAL) and Vulnerability Assessment (VA).</t>
    </r>
    <r>
      <rPr>
        <sz val="11"/>
        <color rgb="FF000000"/>
        <rFont val="Calibri"/>
      </rPr>
      <t xml:space="preserve">
</t>
    </r>
    <r>
      <rPr>
        <sz val="11"/>
        <color rgb="FF000000"/>
        <rFont val="Calibri"/>
      </rPr>
      <t>Satisfies: SRG-NET-000202-FW-000039, SRG-NET-000205-FW-000040, SRG-NET-000235-FW-000133, SRG-NET-000364-FW-000031</t>
    </r>
  </si>
  <si>
    <r>
      <rPr>
        <sz val="11"/>
        <color rgb="FF000000"/>
        <rFont val="Calibri"/>
      </rPr>
      <t>From the NSX Manager web interface, go to Security &gt;&gt; Policy Management &gt;&gt; Gateway Firewall &gt;&gt; Gateway Specific Rules.</t>
    </r>
    <r>
      <rPr>
        <sz val="11"/>
        <color rgb="FF000000"/>
        <rFont val="Calibri"/>
      </rPr>
      <t xml:space="preserve">
</t>
    </r>
    <r>
      <rPr>
        <sz val="11"/>
        <color rgb="FF000000"/>
        <rFont val="Calibri"/>
      </rPr>
      <t>Choose each Tier-0 Gateway in drop-down, then select Policy_Default_Infra Section &gt;&gt; Action.</t>
    </r>
    <r>
      <rPr>
        <sz val="11"/>
        <color rgb="FF000000"/>
        <rFont val="Calibri"/>
      </rPr>
      <t xml:space="preserve">
</t>
    </r>
    <r>
      <rPr>
        <sz val="11"/>
        <color rgb="FF000000"/>
        <rFont val="Calibri"/>
      </rPr>
      <t>If the default_rule is set to "Allow", this is a finding.</t>
    </r>
  </si>
  <si>
    <t>V-265370</t>
  </si>
  <si>
    <r>
      <rPr>
        <sz val="11"/>
        <rFont val="Calibri"/>
      </rPr>
      <t>The NSX Tier-0 Gateway Firewall must be configured to send traffic log entries to a central log server.</t>
    </r>
  </si>
  <si>
    <r>
      <rPr>
        <sz val="11"/>
        <color rgb="FF000000"/>
        <rFont val="Calibri"/>
      </rPr>
      <t>To configure a profile to apply syslog servers to all NSX Edge Nodes, do the following:</t>
    </r>
    <r>
      <rPr>
        <sz val="11"/>
        <color rgb="FF000000"/>
        <rFont val="Calibri"/>
      </rPr>
      <t xml:space="preserve">
</t>
    </r>
    <r>
      <rPr>
        <sz val="11"/>
        <color rgb="FF000000"/>
        <rFont val="Calibri"/>
      </rPr>
      <t>From the NSX Manager web interface, go to System &gt;&gt; Configuration &gt;&gt; Fabric &gt;&gt; Profiles &gt;&gt; Node Profiles.</t>
    </r>
    <r>
      <rPr>
        <sz val="11"/>
        <color rgb="FF000000"/>
        <rFont val="Calibri"/>
      </rPr>
      <t xml:space="preserve">
</t>
    </r>
    <r>
      <rPr>
        <sz val="11"/>
        <color rgb="FF000000"/>
        <rFont val="Calibri"/>
      </rPr>
      <t>Click "All NSX Nodes" and then under "Syslog Servers", click "Add".</t>
    </r>
    <r>
      <rPr>
        <sz val="11"/>
        <color rgb="FF000000"/>
        <rFont val="Calibri"/>
      </rPr>
      <t xml:space="preserve">
</t>
    </r>
    <r>
      <rPr>
        <sz val="11"/>
        <color rgb="FF000000"/>
        <rFont val="Calibri"/>
      </rPr>
      <t>Enter the syslog server details, choose "Information" for the log level, and click "Add".</t>
    </r>
    <r>
      <rPr>
        <sz val="11"/>
        <color rgb="FF000000"/>
        <rFont val="Calibri"/>
      </rPr>
      <t xml:space="preserve">
</t>
    </r>
    <r>
      <rPr>
        <sz val="11"/>
        <color rgb="FF000000"/>
        <rFont val="Calibri"/>
      </rPr>
      <t>or</t>
    </r>
    <r>
      <rPr>
        <sz val="11"/>
        <color rgb="FF000000"/>
        <rFont val="Calibri"/>
      </rPr>
      <t xml:space="preserve">
</t>
    </r>
    <r>
      <rPr>
        <sz val="11"/>
        <color rgb="FF000000"/>
        <rFont val="Calibri"/>
      </rPr>
      <t>(Optional) From an NSX Edge Node shell, run the following command to clear any existing incorrect logging servers:</t>
    </r>
    <r>
      <rPr>
        <sz val="11"/>
        <color rgb="FF000000"/>
        <rFont val="Calibri"/>
      </rPr>
      <t xml:space="preserve">
</t>
    </r>
    <r>
      <rPr>
        <sz val="11"/>
        <color rgb="FF000000"/>
        <rFont val="Calibri"/>
      </rPr>
      <t>&gt; clear logging-servers</t>
    </r>
    <r>
      <rPr>
        <sz val="11"/>
        <color rgb="FF000000"/>
        <rFont val="Calibri"/>
      </rPr>
      <t xml:space="preserve">
</t>
    </r>
    <r>
      <rPr>
        <sz val="11"/>
        <color rgb="FF000000"/>
        <rFont val="Calibri"/>
      </rPr>
      <t>From an NSX Edge Node shell, run the following command to configure a TCP syslog server:</t>
    </r>
    <r>
      <rPr>
        <sz val="11"/>
        <color rgb="FF000000"/>
        <rFont val="Calibri"/>
      </rPr>
      <t xml:space="preserve">
</t>
    </r>
    <r>
      <rPr>
        <sz val="11"/>
        <color rgb="FF000000"/>
        <rFont val="Calibri"/>
      </rPr>
      <t>&gt; set logging-server &lt;server-ip or server-name&gt; proto tcp level info</t>
    </r>
    <r>
      <rPr>
        <sz val="11"/>
        <color rgb="FF000000"/>
        <rFont val="Calibri"/>
      </rPr>
      <t xml:space="preserve">
</t>
    </r>
    <r>
      <rPr>
        <sz val="11"/>
        <color rgb="FF000000"/>
        <rFont val="Calibri"/>
      </rPr>
      <t>From an NSX Edge Node shell, run the following command to configure a primary and backup TLS syslog server:</t>
    </r>
    <r>
      <rPr>
        <sz val="11"/>
        <color rgb="FF000000"/>
        <rFont val="Calibri"/>
      </rPr>
      <t xml:space="preserve">
</t>
    </r>
    <r>
      <rPr>
        <sz val="11"/>
        <color rgb="FF000000"/>
        <rFont val="Calibri"/>
      </rPr>
      <t>&gt; set logging-server &lt;server-ip or server-name&gt; proto tls level info serverca ca.pem clientca ca.pem certificate cert.pem key key.pem</t>
    </r>
    <r>
      <rPr>
        <sz val="11"/>
        <color rgb="FF000000"/>
        <rFont val="Calibri"/>
      </rPr>
      <t xml:space="preserve">
</t>
    </r>
    <r>
      <rPr>
        <sz val="11"/>
        <color rgb="FF000000"/>
        <rFont val="Calibri"/>
      </rPr>
      <t>From an NSX Edge Node shell, run the following command to configure an LI-TLS syslog server:</t>
    </r>
    <r>
      <rPr>
        <sz val="11"/>
        <color rgb="FF000000"/>
        <rFont val="Calibri"/>
      </rPr>
      <t xml:space="preserve">
</t>
    </r>
    <r>
      <rPr>
        <sz val="11"/>
        <color rgb="FF000000"/>
        <rFont val="Calibri"/>
      </rPr>
      <t>&gt; set logging-server &lt;server-ip or server-name&gt; proto li-tls level info serverca root-ca.crt</t>
    </r>
    <r>
      <rPr>
        <sz val="11"/>
        <color rgb="FF000000"/>
        <rFont val="Calibri"/>
      </rPr>
      <t xml:space="preserve">
</t>
    </r>
    <r>
      <rPr>
        <sz val="11"/>
        <color rgb="FF000000"/>
        <rFont val="Calibri"/>
      </rPr>
      <t>Note: If using the protocols TLS or LI-TLS to configure a secure connection to a log server, the server and client certificates must be stored in /var/vmware/nsx/file-store/ on each NSX Edge Node appliance.</t>
    </r>
    <r>
      <rPr>
        <sz val="11"/>
        <color rgb="FF000000"/>
        <rFont val="Calibri"/>
      </rPr>
      <t xml:space="preserve">
</t>
    </r>
    <r>
      <rPr>
        <sz val="11"/>
        <color rgb="FF000000"/>
        <rFont val="Calibri"/>
      </rPr>
      <t>Note: Configure the syslog to send an alert if the events server is unable to receive events from the NSX-T and also if denial-of-service (DoS) incidents are detected. This is true if the events server is STIG compliant.</t>
    </r>
  </si>
  <si>
    <r>
      <rPr>
        <sz val="11"/>
        <color rgb="FF000000"/>
        <rFont val="Calibri"/>
      </rPr>
      <t>Without the ability to centrally manage the content captured in the traffic log entries,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DOD requires centralized management of all network component audit record content. Network components requiring centralized traffic log management must have the ability to support centralized management. The content captured in traffic log entries must be managed from a central location (necessitating automation). Centralized management of traffic log records and logs provides for efficiency in maintenance and management of records, as well as the backup and archiving of those records. </t>
    </r>
    <r>
      <rPr>
        <sz val="11"/>
        <color rgb="FF000000"/>
        <rFont val="Calibri"/>
      </rPr>
      <t xml:space="preserve">
</t>
    </r>
    <r>
      <rPr>
        <sz val="11"/>
        <color rgb="FF000000"/>
        <rFont val="Calibri"/>
      </rPr>
      <t>Ensure at least one syslog server is configured on the firewall.</t>
    </r>
    <r>
      <rPr>
        <sz val="11"/>
        <color rgb="FF000000"/>
        <rFont val="Calibri"/>
      </rPr>
      <t xml:space="preserve">
</t>
    </r>
    <r>
      <rPr>
        <sz val="11"/>
        <color rgb="FF000000"/>
        <rFont val="Calibri"/>
      </rPr>
      <t>If the product inherently has the ability to store log records locally, the local log must also be secured. However, this requirement is not met since it calls for a use of a central audit server.</t>
    </r>
    <r>
      <rPr>
        <sz val="11"/>
        <color rgb="FF000000"/>
        <rFont val="Calibri"/>
      </rPr>
      <t xml:space="preserve">
</t>
    </r>
    <r>
      <rPr>
        <sz val="11"/>
        <color rgb="FF000000"/>
        <rFont val="Calibri"/>
      </rPr>
      <t>Satisfies: SRG-NET-000333-FW-000014, SRG-NET-000098-FW-000021</t>
    </r>
  </si>
  <si>
    <r>
      <rPr>
        <sz val="11"/>
        <color rgb="FF000000"/>
        <rFont val="Calibri"/>
      </rPr>
      <t>From an NSX Edge Node shell hosting the Tier-0 Gateway, run the following command:</t>
    </r>
    <r>
      <rPr>
        <sz val="11"/>
        <color rgb="FF000000"/>
        <rFont val="Calibri"/>
      </rPr>
      <t xml:space="preserve">
</t>
    </r>
    <r>
      <rPr>
        <sz val="11"/>
        <color rgb="FF000000"/>
        <rFont val="Calibri"/>
      </rPr>
      <t>&gt; get logging-servers</t>
    </r>
    <r>
      <rPr>
        <sz val="11"/>
        <color rgb="FF000000"/>
        <rFont val="Calibri"/>
      </rPr>
      <t xml:space="preserve">
</t>
    </r>
    <r>
      <rPr>
        <sz val="11"/>
        <color rgb="FF000000"/>
        <rFont val="Calibri"/>
      </rPr>
      <t>Note: This check must be run from each NSX Edge Node hosting a Tier-0 Gateway, as they are configured individually.</t>
    </r>
    <r>
      <rPr>
        <sz val="11"/>
        <color rgb="FF000000"/>
        <rFont val="Calibri"/>
      </rPr>
      <t xml:space="preserve">
</t>
    </r>
    <r>
      <rPr>
        <sz val="11"/>
        <color rgb="FF000000"/>
        <rFont val="Calibri"/>
      </rPr>
      <t>or</t>
    </r>
    <r>
      <rPr>
        <sz val="11"/>
        <color rgb="FF000000"/>
        <rFont val="Calibri"/>
      </rPr>
      <t xml:space="preserve">
</t>
    </r>
    <r>
      <rPr>
        <sz val="11"/>
        <color rgb="FF000000"/>
        <rFont val="Calibri"/>
      </rPr>
      <t>If Node Profiles are used, from the NSX Manager web interface, go to System &gt;&gt; Configuration &gt;&gt; Fabric &gt;&gt; Profiles &gt;&gt; Node Profiles.</t>
    </r>
    <r>
      <rPr>
        <sz val="11"/>
        <color rgb="FF000000"/>
        <rFont val="Calibri"/>
      </rPr>
      <t xml:space="preserve">
</t>
    </r>
    <r>
      <rPr>
        <sz val="11"/>
        <color rgb="FF000000"/>
        <rFont val="Calibri"/>
      </rPr>
      <t>Click "All NSX Nodes" and verify the syslog servers listed.</t>
    </r>
    <r>
      <rPr>
        <sz val="11"/>
        <color rgb="FF000000"/>
        <rFont val="Calibri"/>
      </rPr>
      <t xml:space="preserve">
</t>
    </r>
    <r>
      <rPr>
        <sz val="11"/>
        <color rgb="FF000000"/>
        <rFont val="Calibri"/>
      </rPr>
      <t>If any configured logging servers are configured with a protocol of "udp", this is a finding.</t>
    </r>
    <r>
      <rPr>
        <sz val="11"/>
        <color rgb="FF000000"/>
        <rFont val="Calibri"/>
      </rPr>
      <t xml:space="preserve">
</t>
    </r>
    <r>
      <rPr>
        <sz val="11"/>
        <color rgb="FF000000"/>
        <rFont val="Calibri"/>
      </rPr>
      <t>If any logging servers are not configured with a level of "info", this is a finding.</t>
    </r>
    <r>
      <rPr>
        <sz val="11"/>
        <color rgb="FF000000"/>
        <rFont val="Calibri"/>
      </rPr>
      <t xml:space="preserve">
</t>
    </r>
    <r>
      <rPr>
        <sz val="11"/>
        <color rgb="FF000000"/>
        <rFont val="Calibri"/>
      </rPr>
      <t>If no logging servers are configured, this is a finding.</t>
    </r>
  </si>
  <si>
    <t>V-265390</t>
  </si>
  <si>
    <r>
      <rPr>
        <sz val="11"/>
        <rFont val="Calibri"/>
      </rPr>
      <t>The NSX Tier-0 Gateway router must be configured to disable Protocol Independent Multicast (PIM) on all interfaces that are not required to support multicast routing.</t>
    </r>
  </si>
  <si>
    <t>Tier-0 Gateway Router</t>
  </si>
  <si>
    <r>
      <rPr>
        <sz val="11"/>
        <color rgb="FF000000"/>
        <rFont val="Calibri"/>
      </rPr>
      <t>Disable multicast PIM routing on interfaces that are not required to support multicast by doing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"Interfaces and GRE Tunnels", click on the number of interfaces present to open the interfaces dialog, and then select "Edit" on the target interface.</t>
    </r>
    <r>
      <rPr>
        <sz val="11"/>
        <color rgb="FF000000"/>
        <rFont val="Calibri"/>
      </rPr>
      <t xml:space="preserve">
</t>
    </r>
    <r>
      <rPr>
        <sz val="11"/>
        <color rgb="FF000000"/>
        <rFont val="Calibri"/>
      </rPr>
      <t>Expand "Multicast", change PIM to "disabled", and then click "Save".</t>
    </r>
  </si>
  <si>
    <r>
      <rPr>
        <sz val="11"/>
        <color rgb="FF000000"/>
        <rFont val="Calibri"/>
      </rPr>
      <t xml:space="preserve">If multicast traffic is forwarded beyond the intended boundary, it could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engineers have documented their multicast topology and thereby knows which interfaces are enabled for multicast. Once this is done, the zones can be scoped as required.</t>
    </r>
  </si>
  <si>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the Tier-0 Gateway &gt;&gt; Interfaces and GRE Tunnels, and click on the number of interfaces present to open the interfaces dialog.</t>
    </r>
    <r>
      <rPr>
        <sz val="11"/>
        <color rgb="FF000000"/>
        <rFont val="Calibri"/>
      </rPr>
      <t xml:space="preserve">
</t>
    </r>
    <r>
      <rPr>
        <sz val="11"/>
        <color rgb="FF000000"/>
        <rFont val="Calibri"/>
      </rPr>
      <t>Expand each interface that is not required to support multicast routing, then expand "Multicast" and verify PIM is disabled.</t>
    </r>
    <r>
      <rPr>
        <sz val="11"/>
        <color rgb="FF000000"/>
        <rFont val="Calibri"/>
      </rPr>
      <t xml:space="preserve">
</t>
    </r>
    <r>
      <rPr>
        <sz val="11"/>
        <color rgb="FF000000"/>
        <rFont val="Calibri"/>
      </rPr>
      <t>If PIM is enabled on any interfaces that are not supporting multicast routing, this is a finding.</t>
    </r>
  </si>
  <si>
    <t>V-265393</t>
  </si>
  <si>
    <r>
      <rPr>
        <sz val="11"/>
        <rFont val="Calibri"/>
      </rPr>
      <t>The NSX Tier-0 Gateway router must be configured to have all inactive interfaces removed.</t>
    </r>
  </si>
  <si>
    <r>
      <rPr>
        <sz val="11"/>
        <color rgb="FF000000"/>
        <rFont val="Calibri"/>
      </rPr>
      <t>Remove unused interfaces by doing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"Interfaces and GRE Tunnels", then click on the number of interfaces present to open the interfaces dialog.</t>
    </r>
    <r>
      <rPr>
        <sz val="11"/>
        <color rgb="FF000000"/>
        <rFont val="Calibri"/>
      </rPr>
      <t xml:space="preserve">
</t>
    </r>
    <r>
      <rPr>
        <sz val="11"/>
        <color rgb="FF000000"/>
        <rFont val="Calibri"/>
      </rPr>
      <t>Select "Delete" on the unneeded interface, and then click "Delete" again to confirm.</t>
    </r>
  </si>
  <si>
    <r>
      <rPr>
        <sz val="11"/>
        <color rgb="FF000000"/>
        <rFont val="Calibri"/>
      </rPr>
      <t>An inactive interface is rarely monitored or controlled and may expose a network to an undetected attack on that interface. Unauthorized personnel with access to the communication facility could gain access to a router by connecting to a configured interface that is not in use.</t>
    </r>
    <r>
      <rPr>
        <sz val="11"/>
        <color rgb="FF000000"/>
        <rFont val="Calibri"/>
      </rPr>
      <t xml:space="preserve">
</t>
    </r>
    <r>
      <rPr>
        <sz val="11"/>
        <color rgb="FF000000"/>
        <rFont val="Calibri"/>
      </rPr>
      <t>If an interface is no longer used, the configuration must be deleted and the interface disabled. For sub-interfaces, delete sub-interfaces that are on inactive interfaces and delete sub-interfaces that are themselves inactive. If the sub-interface is no longer necessary for authorized communications, it must be deleted.</t>
    </r>
  </si>
  <si>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the Tier-0 Gateway &gt;&gt; Interfaces and GRE Tunnels, and click on the number of interfaces present to open the interfaces dialog.</t>
    </r>
    <r>
      <rPr>
        <sz val="11"/>
        <color rgb="FF000000"/>
        <rFont val="Calibri"/>
      </rPr>
      <t xml:space="preserve">
</t>
    </r>
    <r>
      <rPr>
        <sz val="11"/>
        <color rgb="FF000000"/>
        <rFont val="Calibri"/>
      </rPr>
      <t>Review each interface present to determine if they are not in use or inactive.</t>
    </r>
    <r>
      <rPr>
        <sz val="11"/>
        <color rgb="FF000000"/>
        <rFont val="Calibri"/>
      </rPr>
      <t xml:space="preserve">
</t>
    </r>
    <r>
      <rPr>
        <sz val="11"/>
        <color rgb="FF000000"/>
        <rFont val="Calibri"/>
      </rPr>
      <t>If there are any interfaces present on a Tier-0 Gateway that are not in use or inactive, this is a finding.</t>
    </r>
  </si>
  <si>
    <t>V-265404</t>
  </si>
  <si>
    <r>
      <rPr>
        <sz val="11"/>
        <rFont val="Calibri"/>
      </rPr>
      <t>The NSX Tier-0 Gateway router must be configured to have the Dynamic Host Configuration Protocol (DHCP) service disabled if not in use.</t>
    </r>
  </si>
  <si>
    <r>
      <rPr>
        <sz val="11"/>
        <color rgb="FF000000"/>
        <rFont val="Calibri"/>
      </rPr>
      <t>From the NSX Manager web interface, go to Networking &gt;&gt; Connectivity &gt;&gt; Tier-0 Gateways and edit the target Tier-0 gateway.</t>
    </r>
    <r>
      <rPr>
        <sz val="11"/>
        <color rgb="FF000000"/>
        <rFont val="Calibri"/>
      </rPr>
      <t xml:space="preserve">
</t>
    </r>
    <r>
      <rPr>
        <sz val="11"/>
        <color rgb="FF000000"/>
        <rFont val="Calibri"/>
      </rPr>
      <t>Click "Set DHCP Configuration", select "No Dynamic IP Address Allocation", and then click "Save". Close "Editing".</t>
    </r>
  </si>
  <si>
    <r>
      <rPr>
        <sz val="11"/>
        <color rgb="FF000000"/>
        <rFont val="Calibri"/>
      </rPr>
      <t>A compromised router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router is to enable only the capabilities required for operation.</t>
    </r>
  </si>
  <si>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the Tier-0 Gateway to view the DHCP configuration.</t>
    </r>
    <r>
      <rPr>
        <sz val="11"/>
        <color rgb="FF000000"/>
        <rFont val="Calibri"/>
      </rPr>
      <t xml:space="preserve">
</t>
    </r>
    <r>
      <rPr>
        <sz val="11"/>
        <color rgb="FF000000"/>
        <rFont val="Calibri"/>
      </rPr>
      <t>If a DHCP profile is configured and not in use, this is a finding.</t>
    </r>
  </si>
  <si>
    <t>V-265406</t>
  </si>
  <si>
    <r>
      <rPr>
        <sz val="11"/>
        <rFont val="Calibri"/>
      </rPr>
      <t>The NSX Tier-0 Gateway router must be configured to use encryption for Open Shortest Path First (OSPF) routing protocol authentication.</t>
    </r>
  </si>
  <si>
    <r>
      <rPr>
        <sz val="11"/>
        <color rgb="FF000000"/>
        <rFont val="Calibri"/>
      </rPr>
      <t>To set authentication for OSPF area definitions, do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"OSPF", click the number next to "Area Definition". Select "Edit" on the target OSPF Area Definition.</t>
    </r>
    <r>
      <rPr>
        <sz val="11"/>
        <color rgb="FF000000"/>
        <rFont val="Calibri"/>
      </rPr>
      <t xml:space="preserve">
</t>
    </r>
    <r>
      <rPr>
        <sz val="11"/>
        <color rgb="FF000000"/>
        <rFont val="Calibri"/>
      </rPr>
      <t>Change the Authentication drop-down to MD5, enter a Key ID and Password, and then click "Save".</t>
    </r>
    <r>
      <rPr>
        <sz val="11"/>
        <color rgb="FF000000"/>
        <rFont val="Calibri"/>
      </rPr>
      <t xml:space="preserve">
</t>
    </r>
    <r>
      <rPr>
        <sz val="11"/>
        <color rgb="FF000000"/>
        <rFont val="Calibri"/>
      </rPr>
      <t>Note: The MD5 password can have a maximum of 16 characters.</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</si>
  <si>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Enhanced Interior Gateway Routing Protocol [EIGRP], and Intermediate System to Intermediate System [IS-IS]) and exterior gateway protocols (such as Border Gateway Protocol [BGP]), multiprotocol label switching (MPLS)-related protocols (such as Label Distribution Protocol [LDP]), and multicast-related protocols.</t>
    </r>
    <r>
      <rPr>
        <sz val="11"/>
        <color rgb="FF000000"/>
        <rFont val="Calibri"/>
      </rPr>
      <t xml:space="preserve">
</t>
    </r>
    <r>
      <rPr>
        <sz val="11"/>
        <color rgb="FF000000"/>
        <rFont val="Calibri"/>
      </rPr>
      <t>Typically routing protocols must be setup on both sides so knowing the authentication key does not necessarily mean an attacker would be able to setup a rogue router and peer with a legitimate one and inject malicious routes.</t>
    </r>
  </si>
  <si>
    <r>
      <rPr>
        <sz val="11"/>
        <color rgb="FF000000"/>
        <rFont val="Calibri"/>
      </rPr>
      <t>If the Tier-0 Gateway is not using OSPF, this is Not Applicable.</t>
    </r>
    <r>
      <rPr>
        <sz val="11"/>
        <color rgb="FF000000"/>
        <rFont val="Calibri"/>
      </rPr>
      <t xml:space="preserve">
</t>
    </r>
    <r>
      <rPr>
        <sz val="11"/>
        <color rgb="FF000000"/>
        <rFont val="Calibri"/>
      </rPr>
      <t>To verify OSPF areas are using authentication with encryption, do the following:</t>
    </r>
    <r>
      <rPr>
        <sz val="11"/>
        <color rgb="FF000000"/>
        <rFont val="Calibri"/>
      </rPr>
      <t xml:space="preserve">
</t>
    </r>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the "Tier-0 Gateway".</t>
    </r>
    <r>
      <rPr>
        <sz val="11"/>
        <color rgb="FF000000"/>
        <rFont val="Calibri"/>
      </rPr>
      <t xml:space="preserve">
</t>
    </r>
    <r>
      <rPr>
        <sz val="11"/>
        <color rgb="FF000000"/>
        <rFont val="Calibri"/>
      </rPr>
      <t>Expand "OSPF", click the number next to "Area Definition", and view the "Authentication" field for each area.</t>
    </r>
    <r>
      <rPr>
        <sz val="11"/>
        <color rgb="FF000000"/>
        <rFont val="Calibri"/>
      </rPr>
      <t xml:space="preserve">
</t>
    </r>
    <r>
      <rPr>
        <sz val="11"/>
        <color rgb="FF000000"/>
        <rFont val="Calibri"/>
      </rPr>
      <t>If OSPF area definitions do not have the "Authentication" field set to "MD5" and a "Key ID" and "Password" configured, this is a finding.</t>
    </r>
  </si>
  <si>
    <t>V-265428</t>
  </si>
  <si>
    <r>
      <rPr>
        <sz val="11"/>
        <rFont val="Calibri"/>
      </rPr>
      <t>The NSX Tier-0 Gateway router must be configured to restrict it from accepting outbound IP packets that contain an illegitimate address in the source address field by enabling Unicast Reverse Path Forwarding (uRPF).</t>
    </r>
  </si>
  <si>
    <r>
      <rPr>
        <sz val="11"/>
        <color rgb="FF000000"/>
        <rFont val="Calibri"/>
      </rPr>
      <t>Enable strict URPF mode on interfaces by doing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"Interfaces and GRE Tunnels", click on the number of interfaces present to open the interfaces dialog, and then select "Edit" on the target interface.</t>
    </r>
    <r>
      <rPr>
        <sz val="11"/>
        <color rgb="FF000000"/>
        <rFont val="Calibri"/>
      </rPr>
      <t xml:space="preserve">
</t>
    </r>
    <r>
      <rPr>
        <sz val="11"/>
        <color rgb="FF000000"/>
        <rFont val="Calibri"/>
      </rPr>
      <t>From the drop-down, set the URPF mode to "Strict" and then click "Save".</t>
    </r>
  </si>
  <si>
    <r>
      <rPr>
        <sz val="11"/>
        <color rgb="FF000000"/>
        <rFont val="Calibri"/>
      </rPr>
      <t>A malicious platform can use a compromised host in an enclave to launch cyberattacks on third parties. This is a common practice in "botnets", which are a collection of compromised computers using malware to attack other computers or networks. Distributed denial-of-service (DDoS) attacks frequently leverage IP source address spoofing to send packets to multiple hosts that in turn will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</si>
  <si>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Tier-0 Gateway &gt;&gt; Interfaces and GRE Tunnels, and then click on the number of interfaces present to open the interfaces dialog.</t>
    </r>
    <r>
      <rPr>
        <sz val="11"/>
        <color rgb="FF000000"/>
        <rFont val="Calibri"/>
      </rPr>
      <t xml:space="preserve">
</t>
    </r>
    <r>
      <rPr>
        <sz val="11"/>
        <color rgb="FF000000"/>
        <rFont val="Calibri"/>
      </rPr>
      <t>Expand each interface to view the URPF Mode configuration.</t>
    </r>
    <r>
      <rPr>
        <sz val="11"/>
        <color rgb="FF000000"/>
        <rFont val="Calibri"/>
      </rPr>
      <t xml:space="preserve">
</t>
    </r>
    <r>
      <rPr>
        <sz val="11"/>
        <color rgb="FF000000"/>
        <rFont val="Calibri"/>
      </rPr>
      <t>If URPF Mode is not set to "Strict" on any interface, this is a finding.</t>
    </r>
  </si>
  <si>
    <t>V-265431</t>
  </si>
  <si>
    <r>
      <rPr>
        <sz val="11"/>
        <rFont val="Calibri"/>
      </rPr>
      <t>The NSX Tier-0 Gateway router must be configured to implement message authentication for all control plane protocols.</t>
    </r>
  </si>
  <si>
    <r>
      <rPr>
        <sz val="11"/>
        <color rgb="FF000000"/>
        <rFont val="Calibri"/>
      </rPr>
      <t>To set authentication for BGP neighbors, do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BGP. Next to BGP Neighbors, click on the number present to open the dialog, then select "Edit" on the target BGP Neighbor.</t>
    </r>
    <r>
      <rPr>
        <sz val="11"/>
        <color rgb="FF000000"/>
        <rFont val="Calibri"/>
      </rPr>
      <t xml:space="preserve">
</t>
    </r>
    <r>
      <rPr>
        <sz val="11"/>
        <color rgb="FF000000"/>
        <rFont val="Calibri"/>
      </rPr>
      <t>Under Timers &amp; Password, enter a password up to 20 characters, and then click "Save".</t>
    </r>
    <r>
      <rPr>
        <sz val="11"/>
        <color rgb="FF000000"/>
        <rFont val="Calibri"/>
      </rPr>
      <t xml:space="preserve">
</t>
    </r>
    <r>
      <rPr>
        <sz val="11"/>
        <color rgb="FF000000"/>
        <rFont val="Calibri"/>
      </rPr>
      <t>To set authentication for OSPF Area definitions, do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OSPF. Next to "Area Definition", click on the number present to open the dialog, and then select "Edit" on the target OSPF Area.</t>
    </r>
    <r>
      <rPr>
        <sz val="11"/>
        <color rgb="FF000000"/>
        <rFont val="Calibri"/>
      </rPr>
      <t xml:space="preserve">
</t>
    </r>
    <r>
      <rPr>
        <sz val="11"/>
        <color rgb="FF000000"/>
        <rFont val="Calibri"/>
      </rPr>
      <t>Change the Authentication drop-down to Password or MD5, enter a Key ID and/or Password, and then click "Save".</t>
    </r>
  </si>
  <si>
    <r>
      <rPr>
        <sz val="11"/>
        <color rgb="FF000000"/>
        <rFont val="Calibri"/>
      </rPr>
      <t>A rogue router could send a fictitious routing update to convince a site's perimeter router to send traffic to an incorrect or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t>
    </r>
    <r>
      <rPr>
        <sz val="11"/>
        <color rgb="FF000000"/>
        <rFont val="Calibri"/>
      </rPr>
      <t xml:space="preserve">
</t>
    </r>
    <r>
      <rPr>
        <sz val="11"/>
        <color rgb="FF000000"/>
        <rFont val="Calibri"/>
      </rPr>
      <t>This requirement applies to all IPv4 and IPv6 protocols that are used to exchange routing or packet forwarding information. This includes Border Gateway Protocol (BGP), Routing Information Protocol (RIP), Open Shortest Path First (OSPF), Enhanced Interior Gateway Routing Protocol (EIGRP), Intermediate System to Intermediate System (IS-IS) and Label Distribution Protocol (LDP).</t>
    </r>
    <r>
      <rPr>
        <sz val="11"/>
        <color rgb="FF000000"/>
        <rFont val="Calibri"/>
      </rPr>
      <t xml:space="preserve">
</t>
    </r>
    <r>
      <rPr>
        <sz val="11"/>
        <color rgb="FF000000"/>
        <rFont val="Calibri"/>
      </rPr>
      <t>Satisfies: SRG-NET-000230-RTR-000001, SRG-NET-000230-RTR-000002</t>
    </r>
  </si>
  <si>
    <r>
      <rPr>
        <sz val="11"/>
        <color rgb="FF000000"/>
        <rFont val="Calibri"/>
      </rPr>
      <t>If the Tier-0 Gateway is not using BGP or OSPF, this is Not Applicable.</t>
    </r>
    <r>
      <rPr>
        <sz val="11"/>
        <color rgb="FF000000"/>
        <rFont val="Calibri"/>
      </rPr>
      <t xml:space="preserve">
</t>
    </r>
    <r>
      <rPr>
        <sz val="11"/>
        <color rgb="FF000000"/>
        <rFont val="Calibri"/>
      </rPr>
      <t>Since the router does not reveal if a BGP password is configured, interview the router administrator to determine if a password is configured on BGP neighbors.</t>
    </r>
    <r>
      <rPr>
        <sz val="11"/>
        <color rgb="FF000000"/>
        <rFont val="Calibri"/>
      </rPr>
      <t xml:space="preserve">
</t>
    </r>
    <r>
      <rPr>
        <sz val="11"/>
        <color rgb="FF000000"/>
        <rFont val="Calibri"/>
      </rPr>
      <t>If BGP neighbors do not have a password configured, this is a finding.</t>
    </r>
    <r>
      <rPr>
        <sz val="11"/>
        <color rgb="FF000000"/>
        <rFont val="Calibri"/>
      </rPr>
      <t xml:space="preserve">
</t>
    </r>
    <r>
      <rPr>
        <sz val="11"/>
        <color rgb="FF000000"/>
        <rFont val="Calibri"/>
      </rPr>
      <t>To verify OSPF areas are using authentication, do the following:</t>
    </r>
    <r>
      <rPr>
        <sz val="11"/>
        <color rgb="FF000000"/>
        <rFont val="Calibri"/>
      </rPr>
      <t xml:space="preserve">
</t>
    </r>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the "Tier-0 Gateway".</t>
    </r>
    <r>
      <rPr>
        <sz val="11"/>
        <color rgb="FF000000"/>
        <rFont val="Calibri"/>
      </rPr>
      <t xml:space="preserve">
</t>
    </r>
    <r>
      <rPr>
        <sz val="11"/>
        <color rgb="FF000000"/>
        <rFont val="Calibri"/>
      </rPr>
      <t>Expand "OSPF", click the number next to "Area Definition", and view the "Authentication" field for each area.</t>
    </r>
    <r>
      <rPr>
        <sz val="11"/>
        <color rgb="FF000000"/>
        <rFont val="Calibri"/>
      </rPr>
      <t xml:space="preserve">
</t>
    </r>
    <r>
      <rPr>
        <sz val="11"/>
        <color rgb="FF000000"/>
        <rFont val="Calibri"/>
      </rPr>
      <t>If OSPF area definitions do not have Password or MD5 set for authentication, this is a finding.</t>
    </r>
  </si>
  <si>
    <t>V-265432</t>
  </si>
  <si>
    <r>
      <rPr>
        <sz val="11"/>
        <rFont val="Calibri"/>
      </rPr>
      <t>The NSX Tier-0 Gateway must be configured to use a unique password for each autonomous system (AS) with which it peers.</t>
    </r>
  </si>
  <si>
    <r>
      <rPr>
        <sz val="11"/>
        <color rgb="FF000000"/>
        <rFont val="Calibri"/>
      </rPr>
      <t>To set authentication for BGP neighbors, do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BGP. Next to "BGP Neighbors", click on the number present to open the dialog, then select "Edit" on the target BGP Neighbor.</t>
    </r>
    <r>
      <rPr>
        <sz val="11"/>
        <color rgb="FF000000"/>
        <rFont val="Calibri"/>
      </rPr>
      <t xml:space="preserve">
</t>
    </r>
    <r>
      <rPr>
        <sz val="11"/>
        <color rgb="FF000000"/>
        <rFont val="Calibri"/>
      </rPr>
      <t>Expand "BGP", click the number next to "BGP Neighbors". Select "Edit" on the target BGP neighbor.</t>
    </r>
    <r>
      <rPr>
        <sz val="11"/>
        <color rgb="FF000000"/>
        <rFont val="Calibri"/>
      </rPr>
      <t xml:space="preserve">
</t>
    </r>
    <r>
      <rPr>
        <sz val="11"/>
        <color rgb="FF000000"/>
        <rFont val="Calibri"/>
      </rPr>
      <t>Under Timers &amp; Password, enter a password up to 20 characters that is different from other autonomous systems, and then click "Save".</t>
    </r>
  </si>
  <si>
    <r>
      <rPr>
        <sz val="11"/>
        <color rgb="FF000000"/>
        <rFont val="Calibri"/>
      </rPr>
      <t>If the same keys are used between External Border Gateway Protocol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</si>
  <si>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If the Tier-0 Gateway is not using BGP, this is Not Applicable.</t>
    </r>
    <r>
      <rPr>
        <sz val="11"/>
        <color rgb="FF000000"/>
        <rFont val="Calibri"/>
      </rPr>
      <t xml:space="preserve">
</t>
    </r>
    <r>
      <rPr>
        <sz val="11"/>
        <color rgb="FF000000"/>
        <rFont val="Calibri"/>
      </rPr>
      <t>Since the NSX Tier-0 Gateway does not reveal the current password, interview the router administrator to determine if unique passwords are being used.</t>
    </r>
    <r>
      <rPr>
        <sz val="11"/>
        <color rgb="FF000000"/>
        <rFont val="Calibri"/>
      </rPr>
      <t xml:space="preserve">
</t>
    </r>
    <r>
      <rPr>
        <sz val="11"/>
        <color rgb="FF000000"/>
        <rFont val="Calibri"/>
      </rPr>
      <t>If unique passwords are not being used for each AS, this is a finding.</t>
    </r>
  </si>
  <si>
    <t>V-265441</t>
  </si>
  <si>
    <r>
      <rPr>
        <sz val="11"/>
        <rFont val="Calibri"/>
      </rPr>
      <t>The NSX Tier-0 Gateway router must be configured to have Internet Control Message Protocol (ICMP) unreachable notifications disabled on all external interfaces.</t>
    </r>
  </si>
  <si>
    <r>
      <rPr>
        <sz val="11"/>
        <color rgb="FF000000"/>
        <rFont val="Calibri"/>
      </rPr>
      <t>To configure a shared rule to drop ICMP unreachable messages, do the following:</t>
    </r>
    <r>
      <rPr>
        <sz val="11"/>
        <color rgb="FF000000"/>
        <rFont val="Calibri"/>
      </rPr>
      <t xml:space="preserve">
</t>
    </r>
    <r>
      <rPr>
        <sz val="11"/>
        <color rgb="FF000000"/>
        <rFont val="Calibri"/>
      </rPr>
      <t>From the NSX Manager web interface, go to Security &gt;&gt; Policy Management &gt;&gt; Gateway Firewall &gt;&gt; All Shared Rules.</t>
    </r>
    <r>
      <rPr>
        <sz val="11"/>
        <color rgb="FF000000"/>
        <rFont val="Calibri"/>
      </rPr>
      <t xml:space="preserve">
</t>
    </r>
    <r>
      <rPr>
        <sz val="11"/>
        <color rgb="FF000000"/>
        <rFont val="Calibri"/>
      </rPr>
      <t>Click "Add Rule" (add a policy first, if needed) and under "Services", select "ICMP Destination Unreachable" and "Apply".</t>
    </r>
    <r>
      <rPr>
        <sz val="11"/>
        <color rgb="FF000000"/>
        <rFont val="Calibri"/>
      </rPr>
      <t xml:space="preserve">
</t>
    </r>
    <r>
      <rPr>
        <sz val="11"/>
        <color rgb="FF000000"/>
        <rFont val="Calibri"/>
      </rPr>
      <t>Enable logging and under the "Applied To" field select the target Tier-0 gateways and click "Publish" to enforce the new rule.</t>
    </r>
    <r>
      <rPr>
        <sz val="11"/>
        <color rgb="FF000000"/>
        <rFont val="Calibri"/>
      </rPr>
      <t xml:space="preserve">
</t>
    </r>
    <r>
      <rPr>
        <sz val="11"/>
        <color rgb="FF000000"/>
        <rFont val="Calibri"/>
      </rPr>
      <t>Note: A rule can also be created under Gateway Specific Rules to meet this requirement.</t>
    </r>
  </si>
  <si>
    <r>
      <rPr>
        <sz val="11"/>
        <color rgb="FF000000"/>
        <rFont val="Calibri"/>
      </rPr>
      <t>The ICMP supports IP traffic by relaying information about paths, routes, and network conditions. Routers automatically send ICMP messages under a wide variety of conditions. Host unreachable ICMP messages are commonly used by attackers for network mapping and diagnosis.</t>
    </r>
  </si>
  <si>
    <r>
      <rPr>
        <sz val="11"/>
        <color rgb="FF000000"/>
        <rFont val="Calibri"/>
      </rPr>
      <t>If the Tier-0 Gateway is deployed in an Active/Active HA mode, this is Not Applicable.</t>
    </r>
    <r>
      <rPr>
        <sz val="11"/>
        <color rgb="FF000000"/>
        <rFont val="Calibri"/>
      </rPr>
      <t xml:space="preserve">
</t>
    </r>
    <r>
      <rPr>
        <sz val="11"/>
        <color rgb="FF000000"/>
        <rFont val="Calibri"/>
      </rPr>
      <t>From the NSX Manager web interface, go to Security &gt;&gt; Policy Management &gt;&gt; Gateway Firewall &gt;&gt; Gateway Specific Rules, and choose each Tier-0 Gateway in the drop-down.</t>
    </r>
    <r>
      <rPr>
        <sz val="11"/>
        <color rgb="FF000000"/>
        <rFont val="Calibri"/>
      </rPr>
      <t xml:space="preserve">
</t>
    </r>
    <r>
      <rPr>
        <sz val="11"/>
        <color rgb="FF000000"/>
        <rFont val="Calibri"/>
      </rPr>
      <t>Review each Tier-0 Gateway Firewall rule to verify one exists to drop ICMP unreachable messages.</t>
    </r>
    <r>
      <rPr>
        <sz val="11"/>
        <color rgb="FF000000"/>
        <rFont val="Calibri"/>
      </rPr>
      <t xml:space="preserve">
</t>
    </r>
    <r>
      <rPr>
        <sz val="11"/>
        <color rgb="FF000000"/>
        <rFont val="Calibri"/>
      </rPr>
      <t>If a rule does not exist to drop ICMP unreachable messages, this is a finding.</t>
    </r>
  </si>
  <si>
    <t>V-265442</t>
  </si>
  <si>
    <r>
      <rPr>
        <sz val="11"/>
        <rFont val="Calibri"/>
      </rPr>
      <t>The NSX Tier-0 Gateway router must be configured to have Internet Control Message Protocol (ICMP) mask replies disabled on all external interfaces.</t>
    </r>
  </si>
  <si>
    <r>
      <rPr>
        <sz val="11"/>
        <color rgb="FF000000"/>
        <rFont val="Calibri"/>
      </rPr>
      <t>To configure a shared rule to drop ICMP unreachable messages, do the following:</t>
    </r>
    <r>
      <rPr>
        <sz val="11"/>
        <color rgb="FF000000"/>
        <rFont val="Calibri"/>
      </rPr>
      <t xml:space="preserve">
</t>
    </r>
    <r>
      <rPr>
        <sz val="11"/>
        <color rgb="FF000000"/>
        <rFont val="Calibri"/>
      </rPr>
      <t>From the NSX Manager web interface, go to Security &gt;&gt; Policy Management &gt;&gt; Gateway Firewall &gt;&gt; All Shared Rules.</t>
    </r>
    <r>
      <rPr>
        <sz val="11"/>
        <color rgb="FF000000"/>
        <rFont val="Calibri"/>
      </rPr>
      <t xml:space="preserve">
</t>
    </r>
    <r>
      <rPr>
        <sz val="11"/>
        <color rgb="FF000000"/>
        <rFont val="Calibri"/>
      </rPr>
      <t>Click "Add Rule" (add a policy first if needed). Under "Services", select the custom service that identifies ICMP mask replies, and then click "Apply".</t>
    </r>
    <r>
      <rPr>
        <sz val="11"/>
        <color rgb="FF000000"/>
        <rFont val="Calibri"/>
      </rPr>
      <t xml:space="preserve">
</t>
    </r>
    <r>
      <rPr>
        <sz val="11"/>
        <color rgb="FF000000"/>
        <rFont val="Calibri"/>
      </rPr>
      <t>Enable logging, under the "Applied To" field select the target Tier-0 gateways' external interfaces, and then select "Publish" to enforce the new rule.</t>
    </r>
    <r>
      <rPr>
        <sz val="11"/>
        <color rgb="FF000000"/>
        <rFont val="Calibri"/>
      </rPr>
      <t xml:space="preserve">
</t>
    </r>
    <r>
      <rPr>
        <sz val="11"/>
        <color rgb="FF000000"/>
        <rFont val="Calibri"/>
      </rPr>
      <t>Note: A rule can also be created under Gateway Specific Rules to meet this requirement.</t>
    </r>
    <r>
      <rPr>
        <sz val="11"/>
        <color rgb="FF000000"/>
        <rFont val="Calibri"/>
      </rPr>
      <t xml:space="preserve">
</t>
    </r>
    <r>
      <rPr>
        <sz val="11"/>
        <color rgb="FF000000"/>
        <rFont val="Calibri"/>
      </rPr>
      <t>Note: A pre-created service for ICMP mask replies does not exist by default and may need created.</t>
    </r>
  </si>
  <si>
    <r>
      <rPr>
        <sz val="11"/>
        <color rgb="FF000000"/>
        <rFont val="Calibri"/>
      </rPr>
      <t>The ICMP supports IP traffic by relaying information about paths, routes, and network conditions. Routers automatically send ICMP messages under a wide variety of conditions. Mask Reply ICMP messages are commonly used by attackers for network mapping and diagnosis.</t>
    </r>
  </si>
  <si>
    <r>
      <rPr>
        <sz val="11"/>
        <color rgb="FF000000"/>
        <rFont val="Calibri"/>
      </rPr>
      <t>If the Tier-0 Gateway is deployed in an Active/Active HA mode, this is Not Applicable.</t>
    </r>
    <r>
      <rPr>
        <sz val="11"/>
        <color rgb="FF000000"/>
        <rFont val="Calibri"/>
      </rPr>
      <t xml:space="preserve">
</t>
    </r>
    <r>
      <rPr>
        <sz val="11"/>
        <color rgb="FF000000"/>
        <rFont val="Calibri"/>
      </rPr>
      <t>From the NSX Manager web interface, go to Security &gt;&gt; Policy Management &gt;&gt; Gateway Firewall &gt;&gt; Gateway Specific Rules, and choose each Tier-0 Gateway in the drop-down menu.</t>
    </r>
    <r>
      <rPr>
        <sz val="11"/>
        <color rgb="FF000000"/>
        <rFont val="Calibri"/>
      </rPr>
      <t xml:space="preserve">
</t>
    </r>
    <r>
      <rPr>
        <sz val="11"/>
        <color rgb="FF000000"/>
        <rFont val="Calibri"/>
      </rPr>
      <t>Review each Tier-0 Gateway Firewall rule to verify one exists to drop ICMP mask replies.</t>
    </r>
    <r>
      <rPr>
        <sz val="11"/>
        <color rgb="FF000000"/>
        <rFont val="Calibri"/>
      </rPr>
      <t xml:space="preserve">
</t>
    </r>
    <r>
      <rPr>
        <sz val="11"/>
        <color rgb="FF000000"/>
        <rFont val="Calibri"/>
      </rPr>
      <t>If a rule does not exist to drop ICMP mask replies, this is a finding.</t>
    </r>
  </si>
  <si>
    <t>V-265443</t>
  </si>
  <si>
    <r>
      <rPr>
        <sz val="11"/>
        <rFont val="Calibri"/>
      </rPr>
      <t>The NSX Tier-0 Gateway router must be configured to have Internet Control Message Protocol (ICMP) redirects disabled on all external interfaces.</t>
    </r>
  </si>
  <si>
    <r>
      <rPr>
        <sz val="11"/>
        <color rgb="FF000000"/>
        <rFont val="Calibri"/>
      </rPr>
      <t>To configure a shared rule to drop ICMP unreachable messages, do the following:</t>
    </r>
    <r>
      <rPr>
        <sz val="11"/>
        <color rgb="FF000000"/>
        <rFont val="Calibri"/>
      </rPr>
      <t xml:space="preserve">
</t>
    </r>
    <r>
      <rPr>
        <sz val="11"/>
        <color rgb="FF000000"/>
        <rFont val="Calibri"/>
      </rPr>
      <t>From the NSX Manager web interface, go to Security &gt;&gt; Policy Management &gt;&gt; Gateway Firewall &gt;&gt; All Shared Rules.</t>
    </r>
    <r>
      <rPr>
        <sz val="11"/>
        <color rgb="FF000000"/>
        <rFont val="Calibri"/>
      </rPr>
      <t xml:space="preserve">
</t>
    </r>
    <r>
      <rPr>
        <sz val="11"/>
        <color rgb="FF000000"/>
        <rFont val="Calibri"/>
      </rPr>
      <t>Click "Add Rule" (add a policy first if needed). Under "Services", select "ICMP Redirect", and then click "Apply".</t>
    </r>
    <r>
      <rPr>
        <sz val="11"/>
        <color rgb="FF000000"/>
        <rFont val="Calibri"/>
      </rPr>
      <t xml:space="preserve">
</t>
    </r>
    <r>
      <rPr>
        <sz val="11"/>
        <color rgb="FF000000"/>
        <rFont val="Calibri"/>
      </rPr>
      <t>To enable logging, under the "Applied To" field, select the target Tier-0 gateways' external interfaces, and then click "Publish" to enforce the new rule.</t>
    </r>
    <r>
      <rPr>
        <sz val="11"/>
        <color rgb="FF000000"/>
        <rFont val="Calibri"/>
      </rPr>
      <t xml:space="preserve">
</t>
    </r>
    <r>
      <rPr>
        <sz val="11"/>
        <color rgb="FF000000"/>
        <rFont val="Calibri"/>
      </rPr>
      <t>Note: A rule can also be created under Gateway Specific Rules to meet this requirement.</t>
    </r>
  </si>
  <si>
    <r>
      <rPr>
        <sz val="11"/>
        <color rgb="FF000000"/>
        <rFont val="Calibri"/>
      </rPr>
      <t>The ICMP supports IP traffic by relaying information about paths, routes, and network conditions. Routers automatically send ICMP messages under a wide variety of conditions. Redirect ICMP messages are commonly used by attackers for network mapping and diagnosis.</t>
    </r>
  </si>
  <si>
    <r>
      <rPr>
        <sz val="11"/>
        <color rgb="FF000000"/>
        <rFont val="Calibri"/>
      </rPr>
      <t>If the Tier-0 Gateway is deployed in an Active/Active HA mode, this is Not Applicable.</t>
    </r>
    <r>
      <rPr>
        <sz val="11"/>
        <color rgb="FF000000"/>
        <rFont val="Calibri"/>
      </rPr>
      <t xml:space="preserve">
</t>
    </r>
    <r>
      <rPr>
        <sz val="11"/>
        <color rgb="FF000000"/>
        <rFont val="Calibri"/>
      </rPr>
      <t>From the NSX Manager web interface, go to Security &gt;&gt; Policy Management &gt;&gt; Gateway Firewall &gt;&gt; Gateway Specific Rules, and choose each Tier-0 Gateway in the drop-down menu.</t>
    </r>
    <r>
      <rPr>
        <sz val="11"/>
        <color rgb="FF000000"/>
        <rFont val="Calibri"/>
      </rPr>
      <t xml:space="preserve">
</t>
    </r>
    <r>
      <rPr>
        <sz val="11"/>
        <color rgb="FF000000"/>
        <rFont val="Calibri"/>
      </rPr>
      <t>Review each Tier-0 Gateway Firewalls rules to verify one exists to drop ICMP redirects.</t>
    </r>
    <r>
      <rPr>
        <sz val="11"/>
        <color rgb="FF000000"/>
        <rFont val="Calibri"/>
      </rPr>
      <t xml:space="preserve">
</t>
    </r>
    <r>
      <rPr>
        <sz val="11"/>
        <color rgb="FF000000"/>
        <rFont val="Calibri"/>
      </rPr>
      <t>If a rule does not exist to drop ICMP redirects, this is a finding.</t>
    </r>
  </si>
  <si>
    <t>V-265444</t>
  </si>
  <si>
    <r>
      <rPr>
        <sz val="11"/>
        <rFont val="Calibri"/>
      </rPr>
      <t>The NSX Tier-0 Gateway router must be configured to use the Border Gateway Protocol (BGP) maximum prefixes feature to protect against route table flooding and prefix de-aggregation attacks.</t>
    </r>
  </si>
  <si>
    <r>
      <rPr>
        <sz val="11"/>
        <color rgb="FF000000"/>
        <rFont val="Calibri"/>
      </rPr>
      <t>To set maximum prefixes for BGP neighbors, do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BGP. Next to "BGP Neighbors", click on the number present to open the dialog, and then select "Edit" on the target BGP Neighbor.</t>
    </r>
    <r>
      <rPr>
        <sz val="11"/>
        <color rgb="FF000000"/>
        <rFont val="Calibri"/>
      </rPr>
      <t xml:space="preserve">
</t>
    </r>
    <r>
      <rPr>
        <sz val="11"/>
        <color rgb="FF000000"/>
        <rFont val="Calibri"/>
      </rPr>
      <t>Click "Router Filter", add or edit an existing router filter, enter a number for "Maximum Routes", and then click "Add".</t>
    </r>
    <r>
      <rPr>
        <sz val="11"/>
        <color rgb="FF000000"/>
        <rFont val="Calibri"/>
      </rPr>
      <t xml:space="preserve">
</t>
    </r>
    <r>
      <rPr>
        <sz val="11"/>
        <color rgb="FF000000"/>
        <rFont val="Calibri"/>
      </rPr>
      <t>Click "Apply", then click "Save" to finish the configuration.</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</si>
  <si>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routers in the Florida Internet Exchange network (AS7007) de-aggregated every prefix in their routing table and started advertising the first /24 block of each of these prefixes as their own. Faced with this additional burden, the internal routers became overloaded and crashed repeatedly. This caused prefixes advertised by these routers to disappear from routing tables and reappear when the routers came back online. As the routers came back after crashing, they were flooded with the routing table information by their neighbors. The flood of information would again overwhelm the routers and cause them to crash. This process of route flapping served to destabilize not only the surrounding network but also the entire internet. Routers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routers to limit the number of prefixes that it should receive from a particular neighbor, whether customer or peering autonomous system (AS). Consider each neighbor and how many routes they should be advertising and set a threshold slightly higher than the number expected.</t>
    </r>
  </si>
  <si>
    <r>
      <rPr>
        <sz val="11"/>
        <color rgb="FF000000"/>
        <rFont val="Calibri"/>
      </rPr>
      <t>If the Tier-0 Gateway is not using BGP, this is Not Applicable.</t>
    </r>
    <r>
      <rPr>
        <sz val="11"/>
        <color rgb="FF000000"/>
        <rFont val="Calibri"/>
      </rPr>
      <t xml:space="preserve">
</t>
    </r>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with BGP enabled, expand the Tier-0 Gateway.</t>
    </r>
    <r>
      <rPr>
        <sz val="11"/>
        <color rgb="FF000000"/>
        <rFont val="Calibri"/>
      </rPr>
      <t xml:space="preserve">
</t>
    </r>
    <r>
      <rPr>
        <sz val="11"/>
        <color rgb="FF000000"/>
        <rFont val="Calibri"/>
      </rPr>
      <t>Expand BGP, click on the number next to "BGP Neighbors", and then view the router filters for each neighbor.</t>
    </r>
    <r>
      <rPr>
        <sz val="11"/>
        <color rgb="FF000000"/>
        <rFont val="Calibri"/>
      </rPr>
      <t xml:space="preserve">
</t>
    </r>
    <r>
      <rPr>
        <sz val="11"/>
        <color rgb="FF000000"/>
        <rFont val="Calibri"/>
      </rPr>
      <t>If "Maximum Routes" is not configured, or a route filter does not exist for each BGP neighbor, this is a finding.</t>
    </r>
  </si>
  <si>
    <t>V-265468</t>
  </si>
  <si>
    <r>
      <rPr>
        <sz val="11"/>
        <rFont val="Calibri"/>
      </rPr>
      <t>The NSX Tier-0 Gateway router must be configured to use its loopback address as the source address for Internal Border Gateway Protocol (IBGP) peering sessions.</t>
    </r>
  </si>
  <si>
    <r>
      <rPr>
        <sz val="11"/>
        <color rgb="FF000000"/>
        <rFont val="Calibri"/>
      </rPr>
      <t>To configure a loopback interface, do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interfaces and click "Add Interface".</t>
    </r>
    <r>
      <rPr>
        <sz val="11"/>
        <color rgb="FF000000"/>
        <rFont val="Calibri"/>
      </rPr>
      <t xml:space="preserve">
</t>
    </r>
    <r>
      <rPr>
        <sz val="11"/>
        <color rgb="FF000000"/>
        <rFont val="Calibri"/>
      </rPr>
      <t>Enter a name, select "Loopback" as the Type, enter an IP address, select an Edge Node for the interface, then click "Save".</t>
    </r>
    <r>
      <rPr>
        <sz val="11"/>
        <color rgb="FF000000"/>
        <rFont val="Calibri"/>
      </rPr>
      <t xml:space="preserve">
</t>
    </r>
    <r>
      <rPr>
        <sz val="11"/>
        <color rgb="FF000000"/>
        <rFont val="Calibri"/>
      </rPr>
      <t>Note: More than one loopback may need to be configured depending on the routing architecture.</t>
    </r>
    <r>
      <rPr>
        <sz val="11"/>
        <color rgb="FF000000"/>
        <rFont val="Calibri"/>
      </rPr>
      <t xml:space="preserve">
</t>
    </r>
    <r>
      <rPr>
        <sz val="11"/>
        <color rgb="FF000000"/>
        <rFont val="Calibri"/>
      </rPr>
      <t>To set the source address for BGP neighbors, do the following:</t>
    </r>
    <r>
      <rPr>
        <sz val="11"/>
        <color rgb="FF000000"/>
        <rFont val="Calibri"/>
      </rPr>
      <t xml:space="preserve">
</t>
    </r>
    <r>
      <rPr>
        <sz val="11"/>
        <color rgb="FF000000"/>
        <rFont val="Calibri"/>
      </rPr>
      <t>From the NSX Manager web interface, go to Networking &gt;&gt; Connectivity &gt;&gt; Tier-0 Gateways &gt;&gt; expand the target Tier-0 gateway.</t>
    </r>
    <r>
      <rPr>
        <sz val="11"/>
        <color rgb="FF000000"/>
        <rFont val="Calibri"/>
      </rPr>
      <t xml:space="preserve">
</t>
    </r>
    <r>
      <rPr>
        <sz val="11"/>
        <color rgb="FF000000"/>
        <rFont val="Calibri"/>
      </rPr>
      <t>Expand BGP &gt;&gt; next to BGP Neighbors, click on the number present to open the dialog &gt;&gt; select "Edit" on the target BGP Neighbor.</t>
    </r>
    <r>
      <rPr>
        <sz val="11"/>
        <color rgb="FF000000"/>
        <rFont val="Calibri"/>
      </rPr>
      <t xml:space="preserve">
</t>
    </r>
    <r>
      <rPr>
        <sz val="11"/>
        <color rgb="FF000000"/>
        <rFont val="Calibri"/>
      </rPr>
      <t>Under Source Addresses, configure the source address with the loopback address and click "Save".</t>
    </r>
  </si>
  <si>
    <r>
      <rPr>
        <sz val="11"/>
        <color rgb="FF000000"/>
        <rFont val="Calibri"/>
      </rPr>
      <t>Using a loopback address as the source address offers a multitude of uses for security, access, management, and scalability of the Border Gateway Protocol (BGP)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r>
      <rPr>
        <sz val="11"/>
        <color rgb="FF000000"/>
        <rFont val="Calibri"/>
      </rPr>
      <t xml:space="preserve">
</t>
    </r>
    <r>
      <rPr>
        <sz val="11"/>
        <color rgb="FF000000"/>
        <rFont val="Calibri"/>
      </rPr>
      <t>The routers within the iBGP domain should also use loopback addresses as the source address when establishing BGP sessions.</t>
    </r>
  </si>
  <si>
    <r>
      <rPr>
        <sz val="11"/>
        <color rgb="FF000000"/>
        <rFont val="Calibri"/>
      </rPr>
      <t>If the Tier-0 Gateway is not using iBGP, this is Not Applicable.</t>
    </r>
    <r>
      <rPr>
        <sz val="11"/>
        <color rgb="FF000000"/>
        <rFont val="Calibri"/>
      </rPr>
      <t xml:space="preserve">
</t>
    </r>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with BGP enabled, expand the Tier-0 Gateway.</t>
    </r>
    <r>
      <rPr>
        <sz val="11"/>
        <color rgb="FF000000"/>
        <rFont val="Calibri"/>
      </rPr>
      <t xml:space="preserve">
</t>
    </r>
    <r>
      <rPr>
        <sz val="11"/>
        <color rgb="FF000000"/>
        <rFont val="Calibri"/>
      </rPr>
      <t>Expand BGP, click on the number next to BGP Neighbors, then view the source address for each neighbor.</t>
    </r>
    <r>
      <rPr>
        <sz val="11"/>
        <color rgb="FF000000"/>
        <rFont val="Calibri"/>
      </rPr>
      <t xml:space="preserve">
</t>
    </r>
    <r>
      <rPr>
        <sz val="11"/>
        <color rgb="FF000000"/>
        <rFont val="Calibri"/>
      </rPr>
      <t>If the Source Address is not configured as the Tier-0 Gateway loopback address for the iBGP session, this is a finding.</t>
    </r>
  </si>
  <si>
    <t>V-265479</t>
  </si>
  <si>
    <r>
      <rPr>
        <sz val="11"/>
        <rFont val="Calibri"/>
      </rPr>
      <t>The NSX Tier-0 Gateway router must be configured to advertise a hop limit of at least 32 in Router Advertisement messages for IPv6 stateless auto-configuration deployments.</t>
    </r>
  </si>
  <si>
    <r>
      <rPr>
        <sz val="11"/>
        <color rgb="FF000000"/>
        <rFont val="Calibri"/>
      </rPr>
      <t>To configure the Neighbor Discovery hop limit, do the following:</t>
    </r>
    <r>
      <rPr>
        <sz val="11"/>
        <color rgb="FF000000"/>
        <rFont val="Calibri"/>
      </rPr>
      <t xml:space="preserve">
</t>
    </r>
    <r>
      <rPr>
        <sz val="11"/>
        <color rgb="FF000000"/>
        <rFont val="Calibri"/>
      </rPr>
      <t>From the NSX Manager web interface, go to Networking &gt;&gt; Connectivity &gt;&gt; Tier-0 Gateways &gt;&gt; edit the target Tier-0 gateway.</t>
    </r>
    <r>
      <rPr>
        <sz val="11"/>
        <color rgb="FF000000"/>
        <rFont val="Calibri"/>
      </rPr>
      <t xml:space="preserve">
</t>
    </r>
    <r>
      <rPr>
        <sz val="11"/>
        <color rgb="FF000000"/>
        <rFont val="Calibri"/>
      </rPr>
      <t>Expand Additional Settings and select an "ND Profile" from the drop down with a hop limit of 32 or more, then click "Close Editing".</t>
    </r>
    <r>
      <rPr>
        <sz val="11"/>
        <color rgb="FF000000"/>
        <rFont val="Calibri"/>
      </rPr>
      <t xml:space="preserve">
</t>
    </r>
    <r>
      <rPr>
        <sz val="11"/>
        <color rgb="FF000000"/>
        <rFont val="Calibri"/>
      </rPr>
      <t>Note: The default ND profile has a hop limit of 64 and cannot be edited. If required, create a new or edit another existing ND profile to use.</t>
    </r>
  </si>
  <si>
    <r>
      <rPr>
        <sz val="11"/>
        <color rgb="FF000000"/>
        <rFont val="Calibri"/>
      </rPr>
      <t>The Neighbor Discovery (ND)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</si>
  <si>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If IPv6 forwarding is not enabled, this is Not Applicable.</t>
    </r>
    <r>
      <rPr>
        <sz val="11"/>
        <color rgb="FF000000"/>
        <rFont val="Calibri"/>
      </rPr>
      <t xml:space="preserve">
</t>
    </r>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Tier-0 Gateway &gt;&gt;Additional Settings.</t>
    </r>
    <r>
      <rPr>
        <sz val="11"/>
        <color rgb="FF000000"/>
        <rFont val="Calibri"/>
      </rPr>
      <t xml:space="preserve">
</t>
    </r>
    <r>
      <rPr>
        <sz val="11"/>
        <color rgb="FF000000"/>
        <rFont val="Calibri"/>
      </rPr>
      <t>Click on the ND profile name to view the hop limit.</t>
    </r>
    <r>
      <rPr>
        <sz val="11"/>
        <color rgb="FF000000"/>
        <rFont val="Calibri"/>
      </rPr>
      <t xml:space="preserve">
</t>
    </r>
    <r>
      <rPr>
        <sz val="11"/>
        <color rgb="FF000000"/>
        <rFont val="Calibri"/>
      </rPr>
      <t>If the hop limit is not configured to at least 32, this is a finding.</t>
    </r>
  </si>
  <si>
    <t>V-265483</t>
  </si>
  <si>
    <r>
      <rPr>
        <sz val="11"/>
        <rFont val="Calibri"/>
      </rPr>
      <t>The NSX Tier-0 Gateway router must be configured to have routing protocols disabled if not in use.</t>
    </r>
  </si>
  <si>
    <r>
      <rPr>
        <sz val="11"/>
        <color rgb="FF000000"/>
        <rFont val="Calibri"/>
      </rPr>
      <t>If not used in the implementation, then disable BGP, do the following:</t>
    </r>
    <r>
      <rPr>
        <sz val="11"/>
        <color rgb="FF000000"/>
        <rFont val="Calibri"/>
      </rPr>
      <t xml:space="preserve">
</t>
    </r>
    <r>
      <rPr>
        <sz val="11"/>
        <color rgb="FF000000"/>
        <rFont val="Calibri"/>
      </rPr>
      <t>From the NSX Manager web interface, go to Networking &gt;&gt; Connectivity &gt;&gt; Tier-0 Gateways and edit the target Tier-0 gateway.</t>
    </r>
    <r>
      <rPr>
        <sz val="11"/>
        <color rgb="FF000000"/>
        <rFont val="Calibri"/>
      </rPr>
      <t xml:space="preserve">
</t>
    </r>
    <r>
      <rPr>
        <sz val="11"/>
        <color rgb="FF000000"/>
        <rFont val="Calibri"/>
      </rPr>
      <t>Expand BGP, change from "On" to "Off", and then click "Save".</t>
    </r>
    <r>
      <rPr>
        <sz val="11"/>
        <color rgb="FF000000"/>
        <rFont val="Calibri"/>
      </rPr>
      <t xml:space="preserve">
</t>
    </r>
    <r>
      <rPr>
        <sz val="11"/>
        <color rgb="FF000000"/>
        <rFont val="Calibri"/>
      </rPr>
      <t>If not used in the implementation, then disable OSPF, do the following:</t>
    </r>
    <r>
      <rPr>
        <sz val="11"/>
        <color rgb="FF000000"/>
        <rFont val="Calibri"/>
      </rPr>
      <t xml:space="preserve">
</t>
    </r>
    <r>
      <rPr>
        <sz val="11"/>
        <color rgb="FF000000"/>
        <rFont val="Calibri"/>
      </rPr>
      <t>From the NSX Manager web interface, go to Networking &gt;&gt; Connectivity &gt;&gt; Tier-0 Gateways and edit the target Tier-0 gateway.</t>
    </r>
    <r>
      <rPr>
        <sz val="11"/>
        <color rgb="FF000000"/>
        <rFont val="Calibri"/>
      </rPr>
      <t xml:space="preserve">
</t>
    </r>
    <r>
      <rPr>
        <sz val="11"/>
        <color rgb="FF000000"/>
        <rFont val="Calibri"/>
      </rPr>
      <t>Expand OSPF, change from "Enabled" to "Disabled", and then click "Save".</t>
    </r>
  </si>
  <si>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the Tier-0 Gateway to view if border gateway protocol (BGP) or Open Shortest Path First (OSPF) is enabled.</t>
    </r>
    <r>
      <rPr>
        <sz val="11"/>
        <color rgb="FF000000"/>
        <rFont val="Calibri"/>
      </rPr>
      <t xml:space="preserve">
</t>
    </r>
    <r>
      <rPr>
        <sz val="11"/>
        <color rgb="FF000000"/>
        <rFont val="Calibri"/>
      </rPr>
      <t>If BGP and/or OSPF is enabled and not in use, this is a finding.</t>
    </r>
  </si>
  <si>
    <t>V-265484</t>
  </si>
  <si>
    <r>
      <rPr>
        <sz val="11"/>
        <rFont val="Calibri"/>
      </rPr>
      <t>The NSX Tier-0 Gateway router must be configured to have multicast disabled if not in use.</t>
    </r>
  </si>
  <si>
    <r>
      <rPr>
        <sz val="11"/>
        <color rgb="FF000000"/>
        <rFont val="Calibri"/>
      </rPr>
      <t>If not used, disable Multicast by doing the following:</t>
    </r>
    <r>
      <rPr>
        <sz val="11"/>
        <color rgb="FF000000"/>
        <rFont val="Calibri"/>
      </rPr>
      <t xml:space="preserve">
</t>
    </r>
    <r>
      <rPr>
        <sz val="11"/>
        <color rgb="FF000000"/>
        <rFont val="Calibri"/>
      </rPr>
      <t>From the NSX Manager web interface, go to Networking &gt;&gt; Connectivity &gt;&gt; Tier-0 Gateways and edit the target Tier-0 gateway.</t>
    </r>
    <r>
      <rPr>
        <sz val="11"/>
        <color rgb="FF000000"/>
        <rFont val="Calibri"/>
      </rPr>
      <t xml:space="preserve">
</t>
    </r>
    <r>
      <rPr>
        <sz val="11"/>
        <color rgb="FF000000"/>
        <rFont val="Calibri"/>
      </rPr>
      <t>Expand Multicast, change from "Enabled" to "Disabled", and then click "Save".</t>
    </r>
  </si>
  <si>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the Tier-0 Gateway, then expand "Multicast" to view the multicast configuration.</t>
    </r>
    <r>
      <rPr>
        <sz val="11"/>
        <color rgb="FF000000"/>
        <rFont val="Calibri"/>
      </rPr>
      <t xml:space="preserve">
</t>
    </r>
    <r>
      <rPr>
        <sz val="11"/>
        <color rgb="FF000000"/>
        <rFont val="Calibri"/>
      </rPr>
      <t>If multicast is enabled and not in use, this is a finding.</t>
    </r>
  </si>
  <si>
    <t>V-265485</t>
  </si>
  <si>
    <r>
      <rPr>
        <sz val="11"/>
        <rFont val="Calibri"/>
      </rPr>
      <t>The NSX Tier-0 Gateway router must be configured to use encryption for border gateway protocol (BGP) routing protocol authentication.</t>
    </r>
  </si>
  <si>
    <r>
      <rPr>
        <sz val="11"/>
        <color rgb="FF000000"/>
        <rFont val="Calibri"/>
      </rPr>
      <t>To set authentication for BGP neighbors, do the following:</t>
    </r>
    <r>
      <rPr>
        <sz val="11"/>
        <color rgb="FF000000"/>
        <rFont val="Calibri"/>
      </rPr>
      <t xml:space="preserve">
</t>
    </r>
    <r>
      <rPr>
        <sz val="11"/>
        <color rgb="FF000000"/>
        <rFont val="Calibri"/>
      </rPr>
      <t>From the NSX Manager web interface, go to Networking &gt;&gt; Connectivity &gt;&gt; Tier-0 Gateways, and expand the target Tier-0 gateway.</t>
    </r>
    <r>
      <rPr>
        <sz val="11"/>
        <color rgb="FF000000"/>
        <rFont val="Calibri"/>
      </rPr>
      <t xml:space="preserve">
</t>
    </r>
    <r>
      <rPr>
        <sz val="11"/>
        <color rgb="FF000000"/>
        <rFont val="Calibri"/>
      </rPr>
      <t>Expand BGP. Next to "BGP Neighbors", click on the number present to open the dialog, then select "Edit" on the target BGP Neighbor.</t>
    </r>
    <r>
      <rPr>
        <sz val="11"/>
        <color rgb="FF000000"/>
        <rFont val="Calibri"/>
      </rPr>
      <t xml:space="preserve">
</t>
    </r>
    <r>
      <rPr>
        <sz val="11"/>
        <color rgb="FF000000"/>
        <rFont val="Calibri"/>
      </rPr>
      <t>Expand "BGP", click the number next to "BGP Neighbors". Select "Edit" on the target BGP neighbor.</t>
    </r>
    <r>
      <rPr>
        <sz val="11"/>
        <color rgb="FF000000"/>
        <rFont val="Calibri"/>
      </rPr>
      <t xml:space="preserve">
</t>
    </r>
    <r>
      <rPr>
        <sz val="11"/>
        <color rgb="FF000000"/>
        <rFont val="Calibri"/>
      </rPr>
      <t>Under Timers &amp; Password, enter a password up to 20 characters, and then click "Save".</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</si>
  <si>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Open Shortest Path First [OSPF], Enhanced Interior Gateway Routing Protocol [EIGRP], and Intermediate System to Intermediate System [IS-IS]) and Exterior Gateway Protocols (such as BGP), multiprotocol label switching (MPLS)-related protocols (such as Label Distribution Protocol [LDP]), and multicast-related protocols.</t>
    </r>
  </si>
  <si>
    <r>
      <rPr>
        <sz val="11"/>
        <color rgb="FF000000"/>
        <rFont val="Calibri"/>
      </rPr>
      <t>If the Tier-0 Gateway is not using BGP, this is Not Applicable.</t>
    </r>
    <r>
      <rPr>
        <sz val="11"/>
        <color rgb="FF000000"/>
        <rFont val="Calibri"/>
      </rPr>
      <t xml:space="preserve">
</t>
    </r>
    <r>
      <rPr>
        <sz val="11"/>
        <color rgb="FF000000"/>
        <rFont val="Calibri"/>
      </rPr>
      <t>To verify BGP neighbors are using authentication with encryption, do the following:</t>
    </r>
    <r>
      <rPr>
        <sz val="11"/>
        <color rgb="FF000000"/>
        <rFont val="Calibri"/>
      </rPr>
      <t xml:space="preserve">
</t>
    </r>
    <r>
      <rPr>
        <sz val="11"/>
        <color rgb="FF000000"/>
        <rFont val="Calibri"/>
      </rPr>
      <t>From the NSX Manager web interface, go to Networking &gt;&gt; Connectivity &gt;&gt; Tier-0 Gateways.</t>
    </r>
    <r>
      <rPr>
        <sz val="11"/>
        <color rgb="FF000000"/>
        <rFont val="Calibri"/>
      </rPr>
      <t xml:space="preserve">
</t>
    </r>
    <r>
      <rPr>
        <sz val="11"/>
        <color rgb="FF000000"/>
        <rFont val="Calibri"/>
      </rPr>
      <t>For every Tier-0 Gateway, expand the "Tier-0 Gateway".</t>
    </r>
    <r>
      <rPr>
        <sz val="11"/>
        <color rgb="FF000000"/>
        <rFont val="Calibri"/>
      </rPr>
      <t xml:space="preserve">
</t>
    </r>
    <r>
      <rPr>
        <sz val="11"/>
        <color rgb="FF000000"/>
        <rFont val="Calibri"/>
      </rPr>
      <t>Expand "BGP", click the number next to "BGP Neighbors" and expand each BGP neighbor.</t>
    </r>
    <r>
      <rPr>
        <sz val="11"/>
        <color rgb="FF000000"/>
        <rFont val="Calibri"/>
      </rPr>
      <t xml:space="preserve">
</t>
    </r>
    <r>
      <rPr>
        <sz val="11"/>
        <color rgb="FF000000"/>
        <rFont val="Calibri"/>
      </rPr>
      <t>Expand the "Timers and Password" section and review the Password field.</t>
    </r>
    <r>
      <rPr>
        <sz val="11"/>
        <color rgb="FF000000"/>
        <rFont val="Calibri"/>
      </rPr>
      <t xml:space="preserve">
</t>
    </r>
    <r>
      <rPr>
        <sz val="11"/>
        <color rgb="FF000000"/>
        <rFont val="Calibri"/>
      </rPr>
      <t>If any BGP neighbors do not have a password configured, this is a finding.</t>
    </r>
  </si>
  <si>
    <t>V-265488</t>
  </si>
  <si>
    <r>
      <rPr>
        <sz val="11"/>
        <rFont val="Calibri"/>
      </rPr>
      <t>The NSX Tier-1 Gateway firewall must generate traffic log entries.</t>
    </r>
  </si>
  <si>
    <t>Tier-1 Gateway Firewall</t>
  </si>
  <si>
    <r>
      <rPr>
        <sz val="11"/>
        <color rgb="FF000000"/>
        <rFont val="Calibri"/>
      </rPr>
      <t>From the NSX Manager web interface, go to Security &gt;&gt; Policy Management &gt;&gt; Gateway Firewall &gt;&gt; Gateway Specific Rules.</t>
    </r>
    <r>
      <rPr>
        <sz val="11"/>
        <color rgb="FF000000"/>
        <rFont val="Calibri"/>
      </rPr>
      <t xml:space="preserve">
</t>
    </r>
    <r>
      <rPr>
        <sz val="11"/>
        <color rgb="FF000000"/>
        <rFont val="Calibri"/>
      </rPr>
      <t>For each Tier-1 Gateway and for each rule with logging disabled, click the gear icon and enable logging, and then click "Apply".</t>
    </r>
    <r>
      <rPr>
        <sz val="11"/>
        <color rgb="FF000000"/>
        <rFont val="Calibri"/>
      </rPr>
      <t xml:space="preserve">
</t>
    </r>
    <r>
      <rPr>
        <sz val="11"/>
        <color rgb="FF000000"/>
        <rFont val="Calibri"/>
      </rPr>
      <t>After all changes are made, click "Publish".</t>
    </r>
  </si>
  <si>
    <r>
      <rPr>
        <sz val="11"/>
        <color rgb="FF000000"/>
        <rFont val="Calibri"/>
      </rPr>
      <t>From the NSX Manager web interface, go to Security &gt;&gt; Policy Management &gt;&gt; Gateway Firewall &gt;&gt; Gateway Specific Rules.</t>
    </r>
    <r>
      <rPr>
        <sz val="11"/>
        <color rgb="FF000000"/>
        <rFont val="Calibri"/>
      </rPr>
      <t xml:space="preserve">
</t>
    </r>
    <r>
      <rPr>
        <sz val="11"/>
        <color rgb="FF000000"/>
        <rFont val="Calibri"/>
      </rPr>
      <t>For each Tier-1 Gateway and for each rule, click the gear icon and verify the logging setting.</t>
    </r>
    <r>
      <rPr>
        <sz val="11"/>
        <color rgb="FF000000"/>
        <rFont val="Calibri"/>
      </rPr>
      <t xml:space="preserve">
</t>
    </r>
    <r>
      <rPr>
        <sz val="11"/>
        <color rgb="FF000000"/>
        <rFont val="Calibri"/>
      </rPr>
      <t>If logging is not "Enabled", this is a finding.</t>
    </r>
  </si>
  <si>
    <t>V-265493</t>
  </si>
  <si>
    <r>
      <rPr>
        <sz val="11"/>
        <rFont val="Calibri"/>
      </rPr>
      <t>The NSX Tier-1 Gateway firewall must manage excess bandwidth to limit the effects of packet flooding types of denial-of-service (DoS) attacks.</t>
    </r>
  </si>
  <si>
    <r>
      <rPr>
        <sz val="11"/>
        <color rgb="FF000000"/>
        <rFont val="Calibri"/>
      </rPr>
      <t>To create a new Flood Protection profile, do the following:</t>
    </r>
    <r>
      <rPr>
        <sz val="11"/>
        <color rgb="FF000000"/>
        <rFont val="Calibri"/>
      </rPr>
      <t xml:space="preserve">
</t>
    </r>
    <r>
      <rPr>
        <sz val="11"/>
        <color rgb="FF000000"/>
        <rFont val="Calibri"/>
      </rPr>
      <t>From the NSX Manager web interface, go to Security &gt;&gt; Settings &gt;&gt; General Settings &gt;&gt; Firewall &gt;&gt; Flood Protection &gt;&gt; Add Profile &gt;&gt; Add Firewall Profile.</t>
    </r>
    <r>
      <rPr>
        <sz val="11"/>
        <color rgb="FF000000"/>
        <rFont val="Calibri"/>
      </rPr>
      <t xml:space="preserve">
</t>
    </r>
    <r>
      <rPr>
        <sz val="11"/>
        <color rgb="FF000000"/>
        <rFont val="Calibri"/>
      </rPr>
      <t>Enter a name and specify appropriate values for the following: TCP Half Open Connection limit, UDP Active Flow Limit, ICMP Active Flow Limit, and Other Active Connection Limit.</t>
    </r>
    <r>
      <rPr>
        <sz val="11"/>
        <color rgb="FF000000"/>
        <rFont val="Calibri"/>
      </rPr>
      <t xml:space="preserve">
</t>
    </r>
    <r>
      <rPr>
        <sz val="11"/>
        <color rgb="FF000000"/>
        <rFont val="Calibri"/>
      </rPr>
      <t>Configure the "Applied To" field to contain Tier-1 Gateways and then click "Save".</t>
    </r>
  </si>
  <si>
    <r>
      <rPr>
        <sz val="11"/>
        <color rgb="FF000000"/>
        <rFont val="Calibri"/>
      </rPr>
      <t>A firewall experiencing a DoS attack will not be able to handle production traffic load. The high usage and CPU caused by a DoS attack will also have an effect on control keep-alives and timers used for neighbor peering resulting in route flapping and will eventually black hole production traffic.</t>
    </r>
    <r>
      <rPr>
        <sz val="11"/>
        <color rgb="FF000000"/>
        <rFont val="Calibri"/>
      </rPr>
      <t xml:space="preserve">
</t>
    </r>
    <r>
      <rPr>
        <sz val="11"/>
        <color rgb="FF000000"/>
        <rFont val="Calibri"/>
      </rPr>
      <t>The device must be configured to contain and limit a DoS attack's effect on the device's resource usage. The use of redundant components and load balancing are examples of mitigating "flood-type" DoS attacks through increased capacity.</t>
    </r>
    <r>
      <rPr>
        <sz val="11"/>
        <color rgb="FF000000"/>
        <rFont val="Calibri"/>
      </rPr>
      <t xml:space="preserve">
</t>
    </r>
    <r>
      <rPr>
        <sz val="11"/>
        <color rgb="FF000000"/>
        <rFont val="Calibri"/>
      </rPr>
      <t>Satisfies: SRG-NET-000193-FW-000030, SRG-NET-000192-FW-000029, SRG-NET-000362-FW-000028</t>
    </r>
  </si>
  <si>
    <r>
      <rPr>
        <sz val="11"/>
        <color rgb="FF000000"/>
        <rFont val="Calibri"/>
      </rPr>
      <t>From the NSX Manager web interface, go to Security &gt;&gt; Settings &gt;&gt; General Settings &gt;&gt; Firewall &gt;&gt; Flood Protection to view Flood Protection profiles.</t>
    </r>
    <r>
      <rPr>
        <sz val="11"/>
        <color rgb="FF000000"/>
        <rFont val="Calibri"/>
      </rPr>
      <t xml:space="preserve">
</t>
    </r>
    <r>
      <rPr>
        <sz val="11"/>
        <color rgb="FF000000"/>
        <rFont val="Calibri"/>
      </rPr>
      <t>If there are no Flood Protection profiles of type "Gateway", this is a finding.</t>
    </r>
    <r>
      <rPr>
        <sz val="11"/>
        <color rgb="FF000000"/>
        <rFont val="Calibri"/>
      </rPr>
      <t xml:space="preserve">
</t>
    </r>
    <r>
      <rPr>
        <sz val="11"/>
        <color rgb="FF000000"/>
        <rFont val="Calibri"/>
      </rPr>
      <t>For each gateway flood protection profile, if TCP Half Open Connection limit, UDP Active Flow Limit, ICMP Active Flow Limit, and Other Active Connection Limit are set to "None", this is a finding.</t>
    </r>
    <r>
      <rPr>
        <sz val="11"/>
        <color rgb="FF000000"/>
        <rFont val="Calibri"/>
      </rPr>
      <t xml:space="preserve">
</t>
    </r>
    <r>
      <rPr>
        <sz val="11"/>
        <color rgb="FF000000"/>
        <rFont val="Calibri"/>
      </rPr>
      <t>For each gateway flood protection profile, examine the "Applied To" field to view the Tier-1 Gateways to which it is applied.</t>
    </r>
    <r>
      <rPr>
        <sz val="11"/>
        <color rgb="FF000000"/>
        <rFont val="Calibri"/>
      </rPr>
      <t xml:space="preserve">
</t>
    </r>
    <r>
      <rPr>
        <sz val="11"/>
        <color rgb="FF000000"/>
        <rFont val="Calibri"/>
      </rPr>
      <t>If a gateway flood protection profile is not applied to all Tier-1 Gateways through one or more policies, this is a finding.</t>
    </r>
  </si>
  <si>
    <t>V-265494</t>
  </si>
  <si>
    <r>
      <rPr>
        <sz val="11"/>
        <rFont val="Calibri"/>
      </rPr>
      <t>The NSX Tier-1 Gateway firewall must deny network communications traffic by default and allow network communications traffic by exception.</t>
    </r>
  </si>
  <si>
    <r>
      <rPr>
        <sz val="11"/>
        <color rgb="FF000000"/>
        <rFont val="Calibri"/>
      </rPr>
      <t>From the NSX Manager web interface, go to Security &gt;&gt; Policy Management &gt;&gt; Gateway Firewall &gt;&gt; Gateway Specific Rules &gt;&gt; Choose each Tier-1 Gateway in drop-down &gt;&gt; Policy_Default_Infra Section &gt;&gt; Action &gt;&gt; change the Action to Drop or Reject and click "Publish".</t>
    </r>
  </si>
  <si>
    <r>
      <rPr>
        <sz val="11"/>
        <color rgb="FF000000"/>
        <rFont val="Calibri"/>
      </rPr>
      <t>To prevent malicious or accidental leakage of traffic, organizations must implement a deny-by-default security posture at the network perimeter. Such rulesets prevent many malicious exploits or accidental leakage by restricting the traffic to only known sources and only those ports, protocols, or services that are permitted and operationally necessary.</t>
    </r>
    <r>
      <rPr>
        <sz val="11"/>
        <color rgb="FF000000"/>
        <rFont val="Calibri"/>
      </rPr>
      <t xml:space="preserve">
</t>
    </r>
    <r>
      <rPr>
        <sz val="11"/>
        <color rgb="FF000000"/>
        <rFont val="Calibri"/>
      </rPr>
      <t>As a managed boundary interface, the firewall must block all inbound and outbound network traffic unless a filter is installed to explicitly allow it. The allow filters must comply with the Ports, Protocols, and Services Management (PPSM) Category Assurance List (CAL) and Vulnerability Assessment (VA).</t>
    </r>
    <r>
      <rPr>
        <sz val="11"/>
        <color rgb="FF000000"/>
        <rFont val="Calibri"/>
      </rPr>
      <t xml:space="preserve">
</t>
    </r>
    <r>
      <rPr>
        <sz val="11"/>
        <color rgb="FF000000"/>
        <rFont val="Calibri"/>
      </rPr>
      <t>Satisfies: SRG-NET-000202-FW-000039, SRG-NET-000205-FW-000040, SRG-NET-000235-FW-000133, SRG-NET-000364-FW-000031, SRG-NET-000364-FW-000032</t>
    </r>
  </si>
  <si>
    <r>
      <rPr>
        <sz val="11"/>
        <color rgb="FF000000"/>
        <rFont val="Calibri"/>
      </rPr>
      <t>From the NSX Manager web interface, go to Security &gt;&gt; Policy Management &gt;&gt; Gateway Firewall &gt;&gt; Gateway Specific Rules &gt;&gt; Choose each Tier-1 Gateway in drop-down &gt;&gt; Policy_Default_Infra Section &gt;&gt; Action.</t>
    </r>
    <r>
      <rPr>
        <sz val="11"/>
        <color rgb="FF000000"/>
        <rFont val="Calibri"/>
      </rPr>
      <t xml:space="preserve">
</t>
    </r>
    <r>
      <rPr>
        <sz val="11"/>
        <color rgb="FF000000"/>
        <rFont val="Calibri"/>
      </rPr>
      <t>If the default_rule is set to Allow, this is a finding.</t>
    </r>
  </si>
  <si>
    <t>V-265496</t>
  </si>
  <si>
    <r>
      <rPr>
        <sz val="11"/>
        <rFont val="Calibri"/>
      </rPr>
      <t>The NSX Tier-1 Gateway firewall must be configured to send traffic log entries to a central audit server.</t>
    </r>
  </si>
  <si>
    <r>
      <rPr>
        <sz val="11"/>
        <color rgb="FF000000"/>
        <rFont val="Calibri"/>
      </rPr>
      <t>To configure a profile to apply syslog servers to all NSX Edge Nodes, do the following:</t>
    </r>
    <r>
      <rPr>
        <sz val="11"/>
        <color rgb="FF000000"/>
        <rFont val="Calibri"/>
      </rPr>
      <t xml:space="preserve">
</t>
    </r>
    <r>
      <rPr>
        <sz val="11"/>
        <color rgb="FF000000"/>
        <rFont val="Calibri"/>
      </rPr>
      <t>From the NSX Manager web interface, go to System &gt;&gt; Configuration &gt;&gt; Fabric &gt;&gt; Profiles &gt;&gt; Node Profiles.</t>
    </r>
    <r>
      <rPr>
        <sz val="11"/>
        <color rgb="FF000000"/>
        <rFont val="Calibri"/>
      </rPr>
      <t xml:space="preserve">
</t>
    </r>
    <r>
      <rPr>
        <sz val="11"/>
        <color rgb="FF000000"/>
        <rFont val="Calibri"/>
      </rPr>
      <t>Click "All NSX Nodes" and then under "Syslog Servers" click "Add".</t>
    </r>
    <r>
      <rPr>
        <sz val="11"/>
        <color rgb="FF000000"/>
        <rFont val="Calibri"/>
      </rPr>
      <t xml:space="preserve">
</t>
    </r>
    <r>
      <rPr>
        <sz val="11"/>
        <color rgb="FF000000"/>
        <rFont val="Calibri"/>
      </rPr>
      <t>Enter the syslog server details and choose "Information" for the log level and click "Add".</t>
    </r>
    <r>
      <rPr>
        <sz val="11"/>
        <color rgb="FF000000"/>
        <rFont val="Calibri"/>
      </rPr>
      <t xml:space="preserve">
</t>
    </r>
    <r>
      <rPr>
        <sz val="11"/>
        <color rgb="FF000000"/>
        <rFont val="Calibri"/>
      </rPr>
      <t>or</t>
    </r>
    <r>
      <rPr>
        <sz val="11"/>
        <color rgb="FF000000"/>
        <rFont val="Calibri"/>
      </rPr>
      <t xml:space="preserve">
</t>
    </r>
    <r>
      <rPr>
        <sz val="11"/>
        <color rgb="FF000000"/>
        <rFont val="Calibri"/>
      </rPr>
      <t>(Optional) From an NSX Edge Node shell, run the following command to clear any existing incorrect logging-servers:</t>
    </r>
    <r>
      <rPr>
        <sz val="11"/>
        <color rgb="FF000000"/>
        <rFont val="Calibri"/>
      </rPr>
      <t xml:space="preserve">
</t>
    </r>
    <r>
      <rPr>
        <sz val="11"/>
        <color rgb="FF000000"/>
        <rFont val="Calibri"/>
      </rPr>
      <t>&gt; clear logging-servers</t>
    </r>
    <r>
      <rPr>
        <sz val="11"/>
        <color rgb="FF000000"/>
        <rFont val="Calibri"/>
      </rPr>
      <t xml:space="preserve">
</t>
    </r>
    <r>
      <rPr>
        <sz val="11"/>
        <color rgb="FF000000"/>
        <rFont val="Calibri"/>
      </rPr>
      <t>From an NSX Edge Node shell, run the following command to configure a tcp syslog server:</t>
    </r>
    <r>
      <rPr>
        <sz val="11"/>
        <color rgb="FF000000"/>
        <rFont val="Calibri"/>
      </rPr>
      <t xml:space="preserve">
</t>
    </r>
    <r>
      <rPr>
        <sz val="11"/>
        <color rgb="FF000000"/>
        <rFont val="Calibri"/>
      </rPr>
      <t>&gt; set logging-server &lt;server-ip or server-name&gt; proto tcp level info</t>
    </r>
    <r>
      <rPr>
        <sz val="11"/>
        <color rgb="FF000000"/>
        <rFont val="Calibri"/>
      </rPr>
      <t xml:space="preserve">
</t>
    </r>
    <r>
      <rPr>
        <sz val="11"/>
        <color rgb="FF000000"/>
        <rFont val="Calibri"/>
      </rPr>
      <t>From an NSX Edge Node shell, run the following command to configure a primary and backup TLS syslog server:</t>
    </r>
    <r>
      <rPr>
        <sz val="11"/>
        <color rgb="FF000000"/>
        <rFont val="Calibri"/>
      </rPr>
      <t xml:space="preserve">
</t>
    </r>
    <r>
      <rPr>
        <sz val="11"/>
        <color rgb="FF000000"/>
        <rFont val="Calibri"/>
      </rPr>
      <t>&gt; set logging-server &lt;server-ip or server-name&gt; proto tls level info serverca ca.pem clientca ca.pem certificate cert.pem key key.pem</t>
    </r>
    <r>
      <rPr>
        <sz val="11"/>
        <color rgb="FF000000"/>
        <rFont val="Calibri"/>
      </rPr>
      <t xml:space="preserve">
</t>
    </r>
    <r>
      <rPr>
        <sz val="11"/>
        <color rgb="FF000000"/>
        <rFont val="Calibri"/>
      </rPr>
      <t>From an NSX Edge Node shell, run the following command to configure a LI-TLS syslog server:</t>
    </r>
    <r>
      <rPr>
        <sz val="11"/>
        <color rgb="FF000000"/>
        <rFont val="Calibri"/>
      </rPr>
      <t xml:space="preserve">
</t>
    </r>
    <r>
      <rPr>
        <sz val="11"/>
        <color rgb="FF000000"/>
        <rFont val="Calibri"/>
      </rPr>
      <t>&gt; set logging-server &lt;server-ip or server-name&gt; proto li-tls level info serverca root-ca.crt</t>
    </r>
    <r>
      <rPr>
        <sz val="11"/>
        <color rgb="FF000000"/>
        <rFont val="Calibri"/>
      </rPr>
      <t xml:space="preserve">
</t>
    </r>
    <r>
      <rPr>
        <sz val="11"/>
        <color rgb="FF000000"/>
        <rFont val="Calibri"/>
      </rPr>
      <t>Note: If using the protocols TLS or LI-TLS to configure a secure connection to a log server, the server and client certificates must be stored in /var/vmware/nsx/file-store/ on each NSX Edge Node appliance.</t>
    </r>
    <r>
      <rPr>
        <sz val="11"/>
        <color rgb="FF000000"/>
        <rFont val="Calibri"/>
      </rPr>
      <t xml:space="preserve">
</t>
    </r>
    <r>
      <rPr>
        <sz val="11"/>
        <color rgb="FF000000"/>
        <rFont val="Calibri"/>
      </rPr>
      <t>Note: Configure the syslog or Simple Network Management Protocol (SNMP) server to send an alert if the events server is unable to receive events from the NSX-T and also if denial-of-service (DoS) incidents are detected. This is true if the events server is STIG compliant.</t>
    </r>
  </si>
  <si>
    <r>
      <rPr>
        <sz val="11"/>
        <color rgb="FF000000"/>
        <rFont val="Calibri"/>
      </rPr>
      <t>Without the ability to centrally manage the content captured in the traffic log entries,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The DOD requires centralized management of all network component audit record content. Network components requiring centralized traffic log management must have the ability to support centralized management. The content captured in traffic log entries must be managed from a central location (necessitating automation). Centralized management of traffic log records and logs provides for efficiency in maintenance and management of records, as well as the backup and archiving of those records.</t>
    </r>
    <r>
      <rPr>
        <sz val="11"/>
        <color rgb="FF000000"/>
        <rFont val="Calibri"/>
      </rPr>
      <t xml:space="preserve">
</t>
    </r>
    <r>
      <rPr>
        <sz val="11"/>
        <color rgb="FF000000"/>
        <rFont val="Calibri"/>
      </rPr>
      <t>Ensure at least one syslog server is configured on the firewall.</t>
    </r>
    <r>
      <rPr>
        <sz val="11"/>
        <color rgb="FF000000"/>
        <rFont val="Calibri"/>
      </rPr>
      <t xml:space="preserve">
</t>
    </r>
    <r>
      <rPr>
        <sz val="11"/>
        <color rgb="FF000000"/>
        <rFont val="Calibri"/>
      </rPr>
      <t>If the product inherently has the ability to store log records locally, the local log must also be secured. However, this requirement is not met since it calls for a use of a central audit server.</t>
    </r>
    <r>
      <rPr>
        <sz val="11"/>
        <color rgb="FF000000"/>
        <rFont val="Calibri"/>
      </rPr>
      <t xml:space="preserve">
</t>
    </r>
    <r>
      <rPr>
        <sz val="11"/>
        <color rgb="FF000000"/>
        <rFont val="Calibri"/>
      </rPr>
      <t>Satisfies: SRG-NET-000333-FW-000014, SRG-NET-000098-FW-000021</t>
    </r>
  </si>
  <si>
    <r>
      <rPr>
        <sz val="11"/>
        <color rgb="FF000000"/>
        <rFont val="Calibri"/>
      </rPr>
      <t>From an NSX Edge Node shell hosting the Tier-1 Gateway, run the following command:</t>
    </r>
    <r>
      <rPr>
        <sz val="11"/>
        <color rgb="FF000000"/>
        <rFont val="Calibri"/>
      </rPr>
      <t xml:space="preserve">
</t>
    </r>
    <r>
      <rPr>
        <sz val="11"/>
        <color rgb="FF000000"/>
        <rFont val="Calibri"/>
      </rPr>
      <t>&gt; get logging-servers</t>
    </r>
    <r>
      <rPr>
        <sz val="11"/>
        <color rgb="FF000000"/>
        <rFont val="Calibri"/>
      </rPr>
      <t xml:space="preserve">
</t>
    </r>
    <r>
      <rPr>
        <sz val="11"/>
        <color rgb="FF000000"/>
        <rFont val="Calibri"/>
      </rPr>
      <t>Note: This check must be run from each NSX Edge Node hosting a Tier-1 Gateway, as they are configured individually.</t>
    </r>
    <r>
      <rPr>
        <sz val="11"/>
        <color rgb="FF000000"/>
        <rFont val="Calibri"/>
      </rPr>
      <t xml:space="preserve">
</t>
    </r>
    <r>
      <rPr>
        <sz val="11"/>
        <color rgb="FF000000"/>
        <rFont val="Calibri"/>
      </rPr>
      <t>or</t>
    </r>
    <r>
      <rPr>
        <sz val="11"/>
        <color rgb="FF000000"/>
        <rFont val="Calibri"/>
      </rPr>
      <t xml:space="preserve">
</t>
    </r>
    <r>
      <rPr>
        <sz val="11"/>
        <color rgb="FF000000"/>
        <rFont val="Calibri"/>
      </rPr>
      <t>If Node Profiles are used, from the NSX Manager web interface, go to System &gt;&gt; Configuration &gt;&gt; Fabric &gt;&gt; Profiles &gt;&gt; Node Profiles.</t>
    </r>
    <r>
      <rPr>
        <sz val="11"/>
        <color rgb="FF000000"/>
        <rFont val="Calibri"/>
      </rPr>
      <t xml:space="preserve">
</t>
    </r>
    <r>
      <rPr>
        <sz val="11"/>
        <color rgb="FF000000"/>
        <rFont val="Calibri"/>
      </rPr>
      <t>Click "All NSX Nodes" and verify the syslog servers listed.</t>
    </r>
    <r>
      <rPr>
        <sz val="11"/>
        <color rgb="FF000000"/>
        <rFont val="Calibri"/>
      </rPr>
      <t xml:space="preserve">
</t>
    </r>
    <r>
      <rPr>
        <sz val="11"/>
        <color rgb="FF000000"/>
        <rFont val="Calibri"/>
      </rPr>
      <t>If any configured logging servers are configured with a protocol of "udp", this is a finding.</t>
    </r>
    <r>
      <rPr>
        <sz val="11"/>
        <color rgb="FF000000"/>
        <rFont val="Calibri"/>
      </rPr>
      <t xml:space="preserve">
</t>
    </r>
    <r>
      <rPr>
        <sz val="11"/>
        <color rgb="FF000000"/>
        <rFont val="Calibri"/>
      </rPr>
      <t>If any configured logging servers are not configured with a level of "info", this is a finding.</t>
    </r>
    <r>
      <rPr>
        <sz val="11"/>
        <color rgb="FF000000"/>
        <rFont val="Calibri"/>
      </rPr>
      <t xml:space="preserve">
</t>
    </r>
    <r>
      <rPr>
        <sz val="11"/>
        <color rgb="FF000000"/>
        <rFont val="Calibri"/>
      </rPr>
      <t>If no logging-servers are configured, this is a finding.</t>
    </r>
  </si>
  <si>
    <t>V-265500</t>
  </si>
  <si>
    <r>
      <rPr>
        <sz val="11"/>
        <rFont val="Calibri"/>
      </rPr>
      <t>The NSX Tier-1 Gateway firewall must be configured to inspect traffic at the application layer.</t>
    </r>
  </si>
  <si>
    <r>
      <rPr>
        <sz val="11"/>
        <color rgb="FF000000"/>
        <rFont val="Calibri"/>
      </rPr>
      <t>From the NSX Manager web interface, go to Security &gt;&gt; Policy Management &gt;&gt; Gateway Firewall &gt;&gt; Gateway Specific Rules.</t>
    </r>
    <r>
      <rPr>
        <sz val="11"/>
        <color rgb="FF000000"/>
        <rFont val="Calibri"/>
      </rPr>
      <t xml:space="preserve">
</t>
    </r>
    <r>
      <rPr>
        <sz val="11"/>
        <color rgb="FF000000"/>
        <rFont val="Calibri"/>
      </rPr>
      <t>For each Tier-1 Gateway and each rule that should have a Context Profile enabled, click the pencil icon in the Context Profile column.</t>
    </r>
    <r>
      <rPr>
        <sz val="11"/>
        <color rgb="FF000000"/>
        <rFont val="Calibri"/>
      </rPr>
      <t xml:space="preserve">
</t>
    </r>
    <r>
      <rPr>
        <sz val="11"/>
        <color rgb="FF000000"/>
        <rFont val="Calibri"/>
      </rPr>
      <t>Select an existing Context Profile or create a custom one then click "Apply".</t>
    </r>
    <r>
      <rPr>
        <sz val="11"/>
        <color rgb="FF000000"/>
        <rFont val="Calibri"/>
      </rPr>
      <t xml:space="preserve">
</t>
    </r>
    <r>
      <rPr>
        <sz val="11"/>
        <color rgb="FF000000"/>
        <rFont val="Calibri"/>
      </rPr>
      <t>After all changes are made, click "Publish".</t>
    </r>
    <r>
      <rPr>
        <sz val="11"/>
        <color rgb="FF000000"/>
        <rFont val="Calibri"/>
      </rPr>
      <t xml:space="preserve">
</t>
    </r>
    <r>
      <rPr>
        <sz val="11"/>
        <color rgb="FF000000"/>
        <rFont val="Calibri"/>
      </rPr>
      <t>Not all App IDs will be suitable for use in all cases and should be evaluated in each environment before use.</t>
    </r>
    <r>
      <rPr>
        <sz val="11"/>
        <color rgb="FF000000"/>
        <rFont val="Calibri"/>
      </rPr>
      <t xml:space="preserve">
</t>
    </r>
    <r>
      <rPr>
        <sz val="11"/>
        <color rgb="FF000000"/>
        <rFont val="Calibri"/>
      </rPr>
      <t>A list of App IDs for application layer rules is available here: https://docs.vmware.com/en/NSX-Application-IDs/index.html.</t>
    </r>
  </si>
  <si>
    <r>
      <rPr>
        <sz val="11"/>
        <color rgb="FF000000"/>
        <rFont val="Calibri"/>
      </rPr>
      <t>Application inspection enables the firewall to control traffic based on different parameters that exist within the packets such as enforcing application-specific message and field length. Inspection provides improved protection against application-based attacks by restricting the types of commands allowed for the applications. Application inspection all enforces conformance against published RFCs.</t>
    </r>
    <r>
      <rPr>
        <sz val="11"/>
        <color rgb="FF000000"/>
        <rFont val="Calibri"/>
      </rPr>
      <t xml:space="preserve">
</t>
    </r>
    <r>
      <rPr>
        <sz val="11"/>
        <color rgb="FF000000"/>
        <rFont val="Calibri"/>
      </rPr>
      <t>Some applications embed an IP address in the packet that needs to match the source address that is normally translated when it goes through the firewall. Enabling application inspection for a service that embeds IP addresses, the firewall translates embedded addresses and updates any checksum or other fields that are affected by the translation. Enabling application inspection for a service that uses dynamically assigned ports, the firewall monitors sessions to identify the dynamic port assignments, and permits data exchange on these ports for the duration of the specific session.</t>
    </r>
  </si>
  <si>
    <r>
      <rPr>
        <sz val="11"/>
        <color rgb="FF000000"/>
        <rFont val="Calibri"/>
      </rPr>
      <t>From the NSX Manager web interface, go to Security &gt;&gt; Policy Management &gt;&gt; Gateway Firewall &gt;&gt; Gateway Specific Rules.</t>
    </r>
    <r>
      <rPr>
        <sz val="11"/>
        <color rgb="FF000000"/>
        <rFont val="Calibri"/>
      </rPr>
      <t xml:space="preserve">
</t>
    </r>
    <r>
      <rPr>
        <sz val="11"/>
        <color rgb="FF000000"/>
        <rFont val="Calibri"/>
      </rPr>
      <t>For each Tier-1 Gateway, review rules that do not have a Context Profile assigned.</t>
    </r>
    <r>
      <rPr>
        <sz val="11"/>
        <color rgb="FF000000"/>
        <rFont val="Calibri"/>
      </rPr>
      <t xml:space="preserve">
</t>
    </r>
    <r>
      <rPr>
        <sz val="11"/>
        <color rgb="FF000000"/>
        <rFont val="Calibri"/>
      </rPr>
      <t>For example, if a rule exists to allow SSH by service or custom port then it should have the associated SSH Context Profile applied.</t>
    </r>
    <r>
      <rPr>
        <sz val="11"/>
        <color rgb="FF000000"/>
        <rFont val="Calibri"/>
      </rPr>
      <t xml:space="preserve">
</t>
    </r>
    <r>
      <rPr>
        <sz val="11"/>
        <color rgb="FF000000"/>
        <rFont val="Calibri"/>
      </rPr>
      <t>If any rules with services defined have an associated suitable Context Profile but do not have one applied, this is a finding.</t>
    </r>
  </si>
  <si>
    <t>V-265518</t>
  </si>
  <si>
    <r>
      <rPr>
        <sz val="11"/>
        <rFont val="Calibri"/>
      </rPr>
      <t>The NSX Tier-1 Gateway router must be configured to have all inactive interfaces removed.</t>
    </r>
  </si>
  <si>
    <t>Tier-1 Gateway Router</t>
  </si>
  <si>
    <r>
      <rPr>
        <sz val="11"/>
        <color rgb="FF000000"/>
        <rFont val="Calibri"/>
      </rPr>
      <t>To remove a stale linked segment from a Tier-1 Gateway, do the following:</t>
    </r>
    <r>
      <rPr>
        <sz val="11"/>
        <color rgb="FF000000"/>
        <rFont val="Calibri"/>
      </rPr>
      <t xml:space="preserve">
</t>
    </r>
    <r>
      <rPr>
        <sz val="11"/>
        <color rgb="FF000000"/>
        <rFont val="Calibri"/>
      </rPr>
      <t>From the NSX Manager web interface, go to Networking &gt;&gt; Connectivity &gt;&gt; Segments and edit the target segment.</t>
    </r>
    <r>
      <rPr>
        <sz val="11"/>
        <color rgb="FF000000"/>
        <rFont val="Calibri"/>
      </rPr>
      <t xml:space="preserve">
</t>
    </r>
    <r>
      <rPr>
        <sz val="11"/>
        <color rgb="FF000000"/>
        <rFont val="Calibri"/>
      </rPr>
      <t>Under Connected Gateway, change to "None" and click "Save".</t>
    </r>
    <r>
      <rPr>
        <sz val="11"/>
        <color rgb="FF000000"/>
        <rFont val="Calibri"/>
      </rPr>
      <t xml:space="preserve">
</t>
    </r>
    <r>
      <rPr>
        <sz val="11"/>
        <color rgb="FF000000"/>
        <rFont val="Calibri"/>
      </rPr>
      <t>Note: The stale linked segment can also be deleted if there are no active workloads attached to it.</t>
    </r>
    <r>
      <rPr>
        <sz val="11"/>
        <color rgb="FF000000"/>
        <rFont val="Calibri"/>
      </rPr>
      <t xml:space="preserve">
</t>
    </r>
    <r>
      <rPr>
        <sz val="11"/>
        <color rgb="FF000000"/>
        <rFont val="Calibri"/>
      </rPr>
      <t>To remove a stale service interface from a Tier-1 Gateway, do the following:</t>
    </r>
    <r>
      <rPr>
        <sz val="11"/>
        <color rgb="FF000000"/>
        <rFont val="Calibri"/>
      </rPr>
      <t xml:space="preserve">
</t>
    </r>
    <r>
      <rPr>
        <sz val="11"/>
        <color rgb="FF000000"/>
        <rFont val="Calibri"/>
      </rPr>
      <t>From the NSX Manager web interface, go to Networking &gt;&gt; Connectivity &gt;&gt; Tier-1 Gateways &gt;&gt; Edit the target Tier-1 gateway.</t>
    </r>
    <r>
      <rPr>
        <sz val="11"/>
        <color rgb="FF000000"/>
        <rFont val="Calibri"/>
      </rPr>
      <t xml:space="preserve">
</t>
    </r>
    <r>
      <rPr>
        <sz val="11"/>
        <color rgb="FF000000"/>
        <rFont val="Calibri"/>
      </rPr>
      <t>Expand "Interfaces and GRE Tunnels", then click on the number of interfaces present to open the interfaces dialog.</t>
    </r>
    <r>
      <rPr>
        <sz val="11"/>
        <color rgb="FF000000"/>
        <rFont val="Calibri"/>
      </rPr>
      <t xml:space="preserve">
</t>
    </r>
    <r>
      <rPr>
        <sz val="11"/>
        <color rgb="FF000000"/>
        <rFont val="Calibri"/>
      </rPr>
      <t>On the stale service interface, select "Delete" and click "Delete" again to confirm.</t>
    </r>
  </si>
  <si>
    <r>
      <rPr>
        <sz val="11"/>
        <color rgb="FF000000"/>
        <rFont val="Calibri"/>
      </rPr>
      <t>From the NSX Manager web interface, go to Networking &gt;&gt; Connectivity &gt;&gt; Tier-1 Gateways.</t>
    </r>
    <r>
      <rPr>
        <sz val="11"/>
        <color rgb="FF000000"/>
        <rFont val="Calibri"/>
      </rPr>
      <t xml:space="preserve">
</t>
    </r>
    <r>
      <rPr>
        <sz val="11"/>
        <color rgb="FF000000"/>
        <rFont val="Calibri"/>
      </rPr>
      <t>For every Tier-1 Gateway, expand the Tier-1 Gateway. Click on the number in the Linked Segments to review the currently linked segments.</t>
    </r>
    <r>
      <rPr>
        <sz val="11"/>
        <color rgb="FF000000"/>
        <rFont val="Calibri"/>
      </rPr>
      <t xml:space="preserve">
</t>
    </r>
    <r>
      <rPr>
        <sz val="11"/>
        <color rgb="FF000000"/>
        <rFont val="Calibri"/>
      </rPr>
      <t>For every Tier-1 Gateway, expand the Tier-1 Gateway. Expand Interfaces and GRE Tunnels, and click on the number of interfaces present to open the interfaces dialog.</t>
    </r>
    <r>
      <rPr>
        <sz val="11"/>
        <color rgb="FF000000"/>
        <rFont val="Calibri"/>
      </rPr>
      <t xml:space="preserve">
</t>
    </r>
    <r>
      <rPr>
        <sz val="11"/>
        <color rgb="FF000000"/>
        <rFont val="Calibri"/>
      </rPr>
      <t>Review each interface or linked segment present to determine if they are not in use or inactive.</t>
    </r>
    <r>
      <rPr>
        <sz val="11"/>
        <color rgb="FF000000"/>
        <rFont val="Calibri"/>
      </rPr>
      <t xml:space="preserve">
</t>
    </r>
    <r>
      <rPr>
        <sz val="11"/>
        <color rgb="FF000000"/>
        <rFont val="Calibri"/>
      </rPr>
      <t>If there are any linked segments or service interfaces present on a Tier-1 Gateway that are not in use or inactive, this is a finding.</t>
    </r>
  </si>
  <si>
    <t>V-265529</t>
  </si>
  <si>
    <r>
      <rPr>
        <sz val="11"/>
        <rFont val="Calibri"/>
      </rPr>
      <t>The NSX Tier-1 Gateway router must be configured to have the DHCP service disabled if not in use.</t>
    </r>
  </si>
  <si>
    <r>
      <rPr>
        <sz val="11"/>
        <color rgb="FF000000"/>
        <rFont val="Calibri"/>
      </rPr>
      <t>From the NSX Manager web interface, go to Networking &gt;&gt; Connectivity &gt;&gt; Tier-1 Gateways and edit the target Tier-1 gateway.</t>
    </r>
    <r>
      <rPr>
        <sz val="11"/>
        <color rgb="FF000000"/>
        <rFont val="Calibri"/>
      </rPr>
      <t xml:space="preserve">
</t>
    </r>
    <r>
      <rPr>
        <sz val="11"/>
        <color rgb="FF000000"/>
        <rFont val="Calibri"/>
      </rPr>
      <t>Click "Set DHCP Configuration", select "No Dynamic IP Address Allocation", click "Save", and then close "Editing".</t>
    </r>
  </si>
  <si>
    <r>
      <rPr>
        <sz val="11"/>
        <color rgb="FF000000"/>
        <rFont val="Calibri"/>
      </rPr>
      <t>From the NSX Manager web interface, go to Networking &gt;&gt; Connectivity &gt;&gt; Tier-1 Gateways.</t>
    </r>
    <r>
      <rPr>
        <sz val="11"/>
        <color rgb="FF000000"/>
        <rFont val="Calibri"/>
      </rPr>
      <t xml:space="preserve">
</t>
    </r>
    <r>
      <rPr>
        <sz val="11"/>
        <color rgb="FF000000"/>
        <rFont val="Calibri"/>
      </rPr>
      <t>For every Tier-1 Gateway expand the Tier-1 Gateway to view the DHCP configuration.</t>
    </r>
    <r>
      <rPr>
        <sz val="11"/>
        <color rgb="FF000000"/>
        <rFont val="Calibri"/>
      </rPr>
      <t xml:space="preserve">
</t>
    </r>
    <r>
      <rPr>
        <sz val="11"/>
        <color rgb="FF000000"/>
        <rFont val="Calibri"/>
      </rPr>
      <t>If a DHCP profile is configured and not in use, this is a finding.</t>
    </r>
  </si>
  <si>
    <t>V-265604</t>
  </si>
  <si>
    <r>
      <rPr>
        <sz val="11"/>
        <rFont val="Calibri"/>
      </rPr>
      <t>The NSX Tier-1 Gateway router must be configured to advertise a hop limit of at least 32 in Router Advertisement messages for IPv6 stateless auto-configuration deployments.</t>
    </r>
  </si>
  <si>
    <r>
      <rPr>
        <sz val="11"/>
        <color rgb="FF000000"/>
        <rFont val="Calibri"/>
      </rPr>
      <t>To configure the Neighbor Discovery hop limit, do the following:</t>
    </r>
    <r>
      <rPr>
        <sz val="11"/>
        <color rgb="FF000000"/>
        <rFont val="Calibri"/>
      </rPr>
      <t xml:space="preserve">
</t>
    </r>
    <r>
      <rPr>
        <sz val="11"/>
        <color rgb="FF000000"/>
        <rFont val="Calibri"/>
      </rPr>
      <t>From the NSX Manager web interface, go to Networking &gt;&gt; Connectivity &gt;&gt; Tier-1 Gateways &gt;&gt; edit the target Tier-1 gateway.</t>
    </r>
    <r>
      <rPr>
        <sz val="11"/>
        <color rgb="FF000000"/>
        <rFont val="Calibri"/>
      </rPr>
      <t xml:space="preserve">
</t>
    </r>
    <r>
      <rPr>
        <sz val="11"/>
        <color rgb="FF000000"/>
        <rFont val="Calibri"/>
      </rPr>
      <t>Expand Additional Settings and select an "ND Profile" from the drop down with a hop limit of 32 or more, then click "Close Editing".</t>
    </r>
    <r>
      <rPr>
        <sz val="11"/>
        <color rgb="FF000000"/>
        <rFont val="Calibri"/>
      </rPr>
      <t xml:space="preserve">
</t>
    </r>
    <r>
      <rPr>
        <sz val="11"/>
        <color rgb="FF000000"/>
        <rFont val="Calibri"/>
      </rPr>
      <t>Note: The default ND profile has a hop limit of 64 and cannot be edited. If required, create a new or edit another existing ND profile to use.</t>
    </r>
  </si>
  <si>
    <r>
      <rPr>
        <sz val="11"/>
        <color rgb="FF000000"/>
        <rFont val="Calibri"/>
      </rPr>
      <t>The Neighbor Discovery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</si>
  <si>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If IPv6 forwarding is not enabled, this is Not Applicable.</t>
    </r>
    <r>
      <rPr>
        <sz val="11"/>
        <color rgb="FF000000"/>
        <rFont val="Calibri"/>
      </rPr>
      <t xml:space="preserve">
</t>
    </r>
    <r>
      <rPr>
        <sz val="11"/>
        <color rgb="FF000000"/>
        <rFont val="Calibri"/>
      </rPr>
      <t>From the NSX Manager web interface, go to Networking &gt;&gt; Connectivity &gt;&gt; Tier-1 Gateways.</t>
    </r>
    <r>
      <rPr>
        <sz val="11"/>
        <color rgb="FF000000"/>
        <rFont val="Calibri"/>
      </rPr>
      <t xml:space="preserve">
</t>
    </r>
    <r>
      <rPr>
        <sz val="11"/>
        <color rgb="FF000000"/>
        <rFont val="Calibri"/>
      </rPr>
      <t>For every Tier-1 Gateway, expand Tier-1 Gateway &gt;&gt;Additional Settings.</t>
    </r>
    <r>
      <rPr>
        <sz val="11"/>
        <color rgb="FF000000"/>
        <rFont val="Calibri"/>
      </rPr>
      <t xml:space="preserve">
</t>
    </r>
    <r>
      <rPr>
        <sz val="11"/>
        <color rgb="FF000000"/>
        <rFont val="Calibri"/>
      </rPr>
      <t>Click on the ND profile name to view the hop limit.</t>
    </r>
    <r>
      <rPr>
        <sz val="11"/>
        <color rgb="FF000000"/>
        <rFont val="Calibri"/>
      </rPr>
      <t xml:space="preserve">
</t>
    </r>
    <r>
      <rPr>
        <sz val="11"/>
        <color rgb="FF000000"/>
        <rFont val="Calibri"/>
      </rPr>
      <t>If the hop limit is not configured to at least 32, this is a finding.</t>
    </r>
  </si>
  <si>
    <t>V-265608</t>
  </si>
  <si>
    <r>
      <rPr>
        <sz val="11"/>
        <rFont val="Calibri"/>
      </rPr>
      <t>The NSX Tier-1 Gateway router must be configured to have multicast disabled if not in use.</t>
    </r>
  </si>
  <si>
    <r>
      <rPr>
        <sz val="11"/>
        <color rgb="FF000000"/>
        <rFont val="Calibri"/>
      </rPr>
      <t>If not used, disable Multicast by doing the following:</t>
    </r>
    <r>
      <rPr>
        <sz val="11"/>
        <color rgb="FF000000"/>
        <rFont val="Calibri"/>
      </rPr>
      <t xml:space="preserve">
</t>
    </r>
    <r>
      <rPr>
        <sz val="11"/>
        <color rgb="FF000000"/>
        <rFont val="Calibri"/>
      </rPr>
      <t>From the NSX Manager web interface, go to Networking &gt;&gt; Connectivity &gt;&gt; Tier-1 Gateways and edit the target Tier-1 gateway.</t>
    </r>
    <r>
      <rPr>
        <sz val="11"/>
        <color rgb="FF000000"/>
        <rFont val="Calibri"/>
      </rPr>
      <t xml:space="preserve">
</t>
    </r>
    <r>
      <rPr>
        <sz val="11"/>
        <color rgb="FF000000"/>
        <rFont val="Calibri"/>
      </rPr>
      <t>Expand Multicast and change from "Enabled" to "Disabled" and then click "Save".</t>
    </r>
  </si>
  <si>
    <r>
      <rPr>
        <sz val="11"/>
        <color rgb="FF000000"/>
        <rFont val="Calibri"/>
      </rPr>
      <t>From the NSX Manager web interface, go to Networking &gt;&gt; Connectivity &gt;&gt; Tier-1 Gateways.</t>
    </r>
    <r>
      <rPr>
        <sz val="11"/>
        <color rgb="FF000000"/>
        <rFont val="Calibri"/>
      </rPr>
      <t xml:space="preserve">
</t>
    </r>
    <r>
      <rPr>
        <sz val="11"/>
        <color rgb="FF000000"/>
        <rFont val="Calibri"/>
      </rPr>
      <t>For every Tier-1 Gateway, expand the Tier-1 Gateway then expand Multicast to view the Multicast configuration.</t>
    </r>
    <r>
      <rPr>
        <sz val="11"/>
        <color rgb="FF000000"/>
        <rFont val="Calibri"/>
      </rPr>
      <t xml:space="preserve">
</t>
    </r>
    <r>
      <rPr>
        <sz val="11"/>
        <color rgb="FF000000"/>
        <rFont val="Calibri"/>
      </rPr>
      <t>If Multicast is enabled and not in use, this is a finding.</t>
    </r>
    <r>
      <rPr>
        <sz val="11"/>
        <color rgb="FF000000"/>
        <rFont val="Calibri"/>
      </rPr>
      <t xml:space="preserve">
</t>
    </r>
    <r>
      <rPr>
        <sz val="11"/>
        <color rgb="FF000000"/>
        <rFont val="Calibri"/>
      </rPr>
      <t>If a Tier-1 Gateway is not linked to a Tier-0 Gateway, this is Not Applicable.</t>
    </r>
  </si>
  <si>
    <t>V-265612</t>
  </si>
  <si>
    <r>
      <rPr>
        <sz val="11"/>
        <rFont val="Calibri"/>
      </rPr>
      <t>The NSX Distributed Firewall must generate traffic log entries that can be sent by the ESXi hosts to the central syslog.</t>
    </r>
  </si>
  <si>
    <t>Distributed Firewall</t>
  </si>
  <si>
    <r>
      <rPr>
        <sz val="11"/>
        <color rgb="FF000000"/>
        <rFont val="Calibri"/>
      </rPr>
      <t>From the NSX Manager web interface, navigate to Security &gt;&gt; Policy Management &gt;&gt; Distributed Firewall &gt;&gt; Category Specific Rules.</t>
    </r>
    <r>
      <rPr>
        <sz val="11"/>
        <color rgb="FF000000"/>
        <rFont val="Calibri"/>
      </rPr>
      <t xml:space="preserve">
</t>
    </r>
    <r>
      <rPr>
        <sz val="11"/>
        <color rgb="FF000000"/>
        <rFont val="Calibri"/>
      </rPr>
      <t>For each rule that has logging disabled, click the gear icon, toggle the logging option to "Enable", and click "Apply".</t>
    </r>
    <r>
      <rPr>
        <sz val="11"/>
        <color rgb="FF000000"/>
        <rFont val="Calibri"/>
      </rPr>
      <t xml:space="preserve">
</t>
    </r>
    <r>
      <rPr>
        <sz val="11"/>
        <color rgb="FF000000"/>
        <rFont val="Calibri"/>
      </rPr>
      <t>or</t>
    </r>
    <r>
      <rPr>
        <sz val="11"/>
        <color rgb="FF000000"/>
        <rFont val="Calibri"/>
      </rPr>
      <t xml:space="preserve">
</t>
    </r>
    <r>
      <rPr>
        <sz val="11"/>
        <color rgb="FF000000"/>
        <rFont val="Calibri"/>
      </rPr>
      <t>For each Policy or Section, click the menu icon on the left and select "Enable Logging for All Rules".</t>
    </r>
    <r>
      <rPr>
        <sz val="11"/>
        <color rgb="FF000000"/>
        <rFont val="Calibri"/>
      </rPr>
      <t xml:space="preserve">
</t>
    </r>
    <r>
      <rPr>
        <sz val="11"/>
        <color rgb="FF000000"/>
        <rFont val="Calibri"/>
      </rPr>
      <t>After all changes are made, click "Publish".</t>
    </r>
    <r>
      <rPr>
        <sz val="11"/>
        <color rgb="FF000000"/>
        <rFont val="Calibri"/>
      </rPr>
      <t xml:space="preserve">
</t>
    </r>
    <r>
      <rPr>
        <sz val="11"/>
        <color rgb="FF000000"/>
        <rFont val="Calibri"/>
      </rPr>
      <t>NOTE: Syslog and alert monitoring procedure: Syslog configuration is in the vSphere ESXi STIG where there is a control to require syslog configuration. This is because the NSX Distributed Firewall data plane is not directly configured to communicate with the central log server/syslog. The firewall runs in a distributed manner across ESXi hosts, and the traffic logs for the DFW are located on each host for the traffic it processes and are forwarded from each host to a centralized syslog server. Thus, ESXi hosts must be configured to send the syslogs to the log server. In turn, the syslog must be configured to send all required alerts, including when unknown or out-of-order extension headers are detected in inbound and outbound IPv6 traffic.</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</si>
  <si>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Audit event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network element logs provides a means of investigating an attack, recognizing resource utilization or capacity thresholds, or identifying an improperly configured network element.</t>
    </r>
    <r>
      <rPr>
        <sz val="11"/>
        <color rgb="FF000000"/>
        <rFont val="Calibri"/>
      </rPr>
      <t xml:space="preserve">
</t>
    </r>
    <r>
      <rPr>
        <sz val="11"/>
        <color rgb="FF000000"/>
        <rFont val="Calibri"/>
      </rPr>
      <t>Satisfies: SRG-NET-000074-FW-000009, SRG-NET-000075-FW-000010, SRG-NET-000076-FW-000011, SRG-NET-000077-FW-000012, SRG-NET-000078-FW-000013, SRG-NET-000492-FW-000006, SRG-NET-000493-FW-000007</t>
    </r>
  </si>
  <si>
    <r>
      <rPr>
        <sz val="11"/>
        <color rgb="FF000000"/>
        <rFont val="Calibri"/>
      </rPr>
      <t>From the NSX Manager web interface, navigate to Security &gt;&gt; Policy Management &gt;&gt; Distributed Firewall &gt;&gt; All Rules.</t>
    </r>
    <r>
      <rPr>
        <sz val="11"/>
        <color rgb="FF000000"/>
        <rFont val="Calibri"/>
      </rPr>
      <t xml:space="preserve">
</t>
    </r>
    <r>
      <rPr>
        <sz val="11"/>
        <color rgb="FF000000"/>
        <rFont val="Calibri"/>
      </rPr>
      <t>For each rule, click the gear icon and verify the logging setting.</t>
    </r>
    <r>
      <rPr>
        <sz val="11"/>
        <color rgb="FF000000"/>
        <rFont val="Calibri"/>
      </rPr>
      <t xml:space="preserve">
</t>
    </r>
    <r>
      <rPr>
        <sz val="11"/>
        <color rgb="FF000000"/>
        <rFont val="Calibri"/>
      </rPr>
      <t>If logging is not enabled for any rule, this is a finding.</t>
    </r>
  </si>
  <si>
    <t>V-265618</t>
  </si>
  <si>
    <r>
      <rPr>
        <sz val="11"/>
        <rFont val="Calibri"/>
      </rPr>
      <t>The NSX Distributed Firewall must limit the effects of packet flooding types of denial-of-service (DoS) attacks.</t>
    </r>
  </si>
  <si>
    <r>
      <rPr>
        <sz val="11"/>
        <color rgb="FF000000"/>
        <rFont val="Calibri"/>
      </rPr>
      <t>To create a new Flood Protection profile:</t>
    </r>
    <r>
      <rPr>
        <sz val="11"/>
        <color rgb="FF000000"/>
        <rFont val="Calibri"/>
      </rPr>
      <t xml:space="preserve">
</t>
    </r>
    <r>
      <rPr>
        <sz val="11"/>
        <color rgb="FF000000"/>
        <rFont val="Calibri"/>
      </rPr>
      <t>From the NSX Manager web interface, navigate to Security &gt;&gt; Settings &gt;&gt; General Settings &gt;&gt; Firewall &gt;&gt; Flood Protection &gt;&gt; Add Profile &gt;&gt; Add Firewall Profile.</t>
    </r>
    <r>
      <rPr>
        <sz val="11"/>
        <color rgb="FF000000"/>
        <rFont val="Calibri"/>
      </rPr>
      <t xml:space="preserve">
</t>
    </r>
    <r>
      <rPr>
        <sz val="11"/>
        <color rgb="FF000000"/>
        <rFont val="Calibri"/>
      </rPr>
      <t>Enter a name and specify appropriate values for the following: TCP Half Open Connection limit, UDP Active Flow Limit, ICMP Active Flow Limit, and Other Active Connection Limit.</t>
    </r>
    <r>
      <rPr>
        <sz val="11"/>
        <color rgb="FF000000"/>
        <rFont val="Calibri"/>
      </rPr>
      <t xml:space="preserve">
</t>
    </r>
    <r>
      <rPr>
        <sz val="11"/>
        <color rgb="FF000000"/>
        <rFont val="Calibri"/>
      </rPr>
      <t>Enable SYN Cache and RST Spoofing, configure the "Applied To" field with the appropriate security groups, and click "Save".</t>
    </r>
  </si>
  <si>
    <r>
      <rPr>
        <sz val="11"/>
        <color rgb="FF000000"/>
        <rFont val="Calibri"/>
      </rPr>
      <t>A firewall experiencing a DoS attack will not be able to handle production traffic load. The high utilization and CPU caused by a DoS attack will also have an effect on control keep-alives and timers used for neighbor peering resulting in route flapping and will eventually black hole production traffic.</t>
    </r>
    <r>
      <rPr>
        <sz val="11"/>
        <color rgb="FF000000"/>
        <rFont val="Calibri"/>
      </rPr>
      <t xml:space="preserve">
</t>
    </r>
    <r>
      <rPr>
        <sz val="11"/>
        <color rgb="FF000000"/>
        <rFont val="Calibri"/>
      </rPr>
      <t>The device must be configured to contain and limit a DoS attack's effect on the device's resource utilization. The use of redundant components and load balancing are examples of mitigating "flood-type" DoS attacks through increased capacity.</t>
    </r>
    <r>
      <rPr>
        <sz val="11"/>
        <color rgb="FF000000"/>
        <rFont val="Calibri"/>
      </rPr>
      <t xml:space="preserve">
</t>
    </r>
    <r>
      <rPr>
        <sz val="11"/>
        <color rgb="FF000000"/>
        <rFont val="Calibri"/>
      </rPr>
      <t>Satisfies: SRG-NET-000193-FW-000030, SRG-NET-000192-FW-000029, SRG-NET-000362-FW-000028</t>
    </r>
  </si>
  <si>
    <r>
      <rPr>
        <sz val="11"/>
        <color rgb="FF000000"/>
        <rFont val="Calibri"/>
      </rPr>
      <t>From the NSX Manager web interface, navigate to Security &gt;&gt; Settings &gt;&gt; General Settings &gt;&gt; Firewall &gt;&gt; Flood Protection to view Flood Protection profiles.</t>
    </r>
    <r>
      <rPr>
        <sz val="11"/>
        <color rgb="FF000000"/>
        <rFont val="Calibri"/>
      </rPr>
      <t xml:space="preserve">
</t>
    </r>
    <r>
      <rPr>
        <sz val="11"/>
        <color rgb="FF000000"/>
        <rFont val="Calibri"/>
      </rPr>
      <t>If there are no Flood Protection profiles of type "Distributed Firewall", this is a finding.</t>
    </r>
    <r>
      <rPr>
        <sz val="11"/>
        <color rgb="FF000000"/>
        <rFont val="Calibri"/>
      </rPr>
      <t xml:space="preserve">
</t>
    </r>
    <r>
      <rPr>
        <sz val="11"/>
        <color rgb="FF000000"/>
        <rFont val="Calibri"/>
      </rPr>
      <t>If the TCP Half Open Connection limit, UDP Active Flow Limit, ICMP Active Flow Limit, and Other Active Connection Limit are "not set" or SYN Cache and RST Spoofing is not Enabled on a profile, this is a finding.</t>
    </r>
    <r>
      <rPr>
        <sz val="11"/>
        <color rgb="FF000000"/>
        <rFont val="Calibri"/>
      </rPr>
      <t xml:space="preserve">
</t>
    </r>
    <r>
      <rPr>
        <sz val="11"/>
        <color rgb="FF000000"/>
        <rFont val="Calibri"/>
      </rPr>
      <t>For each distributed firewall flood protection profile, examine the "Applied To" field to view the workloads it is protecting.</t>
    </r>
    <r>
      <rPr>
        <sz val="11"/>
        <color rgb="FF000000"/>
        <rFont val="Calibri"/>
      </rPr>
      <t xml:space="preserve">
</t>
    </r>
    <r>
      <rPr>
        <sz val="11"/>
        <color rgb="FF000000"/>
        <rFont val="Calibri"/>
      </rPr>
      <t>If a distributed firewall flood protection profile is not applied to all workloads through one or more policies, this is a finding.</t>
    </r>
  </si>
  <si>
    <t>V-265619</t>
  </si>
  <si>
    <r>
      <rPr>
        <sz val="11"/>
        <rFont val="Calibri"/>
      </rPr>
      <t>The NSX Distributed Firewall must deny network communications traffic by default and allow network communications traffic by exception.</t>
    </r>
  </si>
  <si>
    <r>
      <rPr>
        <sz val="11"/>
        <color rgb="FF000000"/>
        <rFont val="Calibri"/>
      </rPr>
      <t>From the NSX Manager web interface, navigate to Security &gt;&gt; Policy Management &gt;&gt; Distributed Firewall &gt;&gt; Category Specific Rules &gt;&gt; APPLICATION &gt;&gt; Default Layer3 Section &gt;&gt; Default Layer3 Rule and change action to "Drop" or "Reject".</t>
    </r>
    <r>
      <rPr>
        <sz val="11"/>
        <color rgb="FF000000"/>
        <rFont val="Calibri"/>
      </rPr>
      <t xml:space="preserve">
</t>
    </r>
    <r>
      <rPr>
        <sz val="11"/>
        <color rgb="FF000000"/>
        <rFont val="Calibri"/>
      </rPr>
      <t>After all changes are made, click "Publish".</t>
    </r>
    <r>
      <rPr>
        <sz val="11"/>
        <color rgb="FF000000"/>
        <rFont val="Calibri"/>
      </rPr>
      <t xml:space="preserve">
</t>
    </r>
    <r>
      <rPr>
        <sz val="11"/>
        <color rgb="FF000000"/>
        <rFont val="Calibri"/>
      </rPr>
      <t>Note: Before enabling, ensure the necessary rules to whitelist approved traffic are created and published, or this change may result in loss of communication for workloads.</t>
    </r>
  </si>
  <si>
    <r>
      <rPr>
        <sz val="11"/>
        <color rgb="FF000000"/>
        <rFont val="Calibri"/>
      </rPr>
      <t>To prevent malicious or accidental leakage of traffic, organizations must implement a deny-by-default security posture at the network perimeter. Such rulesets prevent many malicious exploits or accidental leakage by restricting the traffic to only known sources and only those ports, protocols, or services that are permitted and operationally necessary.</t>
    </r>
    <r>
      <rPr>
        <sz val="11"/>
        <color rgb="FF000000"/>
        <rFont val="Calibri"/>
      </rPr>
      <t xml:space="preserve">
</t>
    </r>
    <r>
      <rPr>
        <sz val="11"/>
        <color rgb="FF000000"/>
        <rFont val="Calibri"/>
      </rPr>
      <t>As a managed boundary interface, the firewall must block all inbound and outbound network traffic unless a filter is installed to explicitly allow it. The allow filters must comply with the Ports, Protocols, and Services Management (PPSM) Category Assurance List (CAL) and Vulnerability Assessment (VA).</t>
    </r>
    <r>
      <rPr>
        <sz val="11"/>
        <color rgb="FF000000"/>
        <rFont val="Calibri"/>
      </rPr>
      <t xml:space="preserve">
</t>
    </r>
    <r>
      <rPr>
        <sz val="11"/>
        <color rgb="FF000000"/>
        <rFont val="Calibri"/>
      </rPr>
      <t>Satisfies: SRG-NET-000202-FW-000039, SRG-NET-000235-FW-000133</t>
    </r>
  </si>
  <si>
    <r>
      <rPr>
        <sz val="11"/>
        <color rgb="FF000000"/>
        <rFont val="Calibri"/>
      </rPr>
      <t>From the NSX Manager web interface, navigate to Security &gt;&gt; Policy Management &gt;&gt; Distributed Firewall &gt;&gt; Category Specific Rules &gt;&gt; APPLICATION &gt;&gt; Default Layer3 Section &gt;&gt; Default Layer3 Rule &gt;&gt; Action.</t>
    </r>
    <r>
      <rPr>
        <sz val="11"/>
        <color rgb="FF000000"/>
        <rFont val="Calibri"/>
      </rPr>
      <t xml:space="preserve">
</t>
    </r>
    <r>
      <rPr>
        <sz val="11"/>
        <color rgb="FF000000"/>
        <rFont val="Calibri"/>
      </rPr>
      <t>If the Default Layer3 Rule is set to "ALLOW", this is a finding.</t>
    </r>
  </si>
  <si>
    <t>V-265628</t>
  </si>
  <si>
    <r>
      <rPr>
        <sz val="11"/>
        <rFont val="Calibri"/>
      </rPr>
      <t>The NSX Distributed Firewall must be configured to inspect traffic at the application layer.</t>
    </r>
  </si>
  <si>
    <r>
      <rPr>
        <sz val="11"/>
        <color rgb="FF000000"/>
        <rFont val="Calibri"/>
      </rPr>
      <t>From the NSX Manager web interface, navigate to Security &gt;&gt; Policy Management &gt;&gt; Distributed Firewall &gt;&gt; Category Specific Rules.</t>
    </r>
    <r>
      <rPr>
        <sz val="11"/>
        <color rgb="FF000000"/>
        <rFont val="Calibri"/>
      </rPr>
      <t xml:space="preserve">
</t>
    </r>
    <r>
      <rPr>
        <sz val="11"/>
        <color rgb="FF000000"/>
        <rFont val="Calibri"/>
      </rPr>
      <t>For each rule that should have a Context Profile enabled, click the pencil icon in the Context Profile column.</t>
    </r>
    <r>
      <rPr>
        <sz val="11"/>
        <color rgb="FF000000"/>
        <rFont val="Calibri"/>
      </rPr>
      <t xml:space="preserve">
</t>
    </r>
    <r>
      <rPr>
        <sz val="11"/>
        <color rgb="FF000000"/>
        <rFont val="Calibri"/>
      </rPr>
      <t>Select an existing Context Profile or create a custom one then click "Apply".</t>
    </r>
    <r>
      <rPr>
        <sz val="11"/>
        <color rgb="FF000000"/>
        <rFont val="Calibri"/>
      </rPr>
      <t xml:space="preserve">
</t>
    </r>
    <r>
      <rPr>
        <sz val="11"/>
        <color rgb="FF000000"/>
        <rFont val="Calibri"/>
      </rPr>
      <t>After all changes are made, click "Publish".</t>
    </r>
    <r>
      <rPr>
        <sz val="11"/>
        <color rgb="FF000000"/>
        <rFont val="Calibri"/>
      </rPr>
      <t xml:space="preserve">
</t>
    </r>
    <r>
      <rPr>
        <sz val="11"/>
        <color rgb="FF000000"/>
        <rFont val="Calibri"/>
      </rPr>
      <t>Note: This control does not apply to Ethernet rules.</t>
    </r>
    <r>
      <rPr>
        <sz val="11"/>
        <color rgb="FF000000"/>
        <rFont val="Calibri"/>
      </rPr>
      <t xml:space="preserve">
</t>
    </r>
    <r>
      <rPr>
        <sz val="11"/>
        <color rgb="FF000000"/>
        <rFont val="Calibri"/>
      </rPr>
      <t>Not all App IDs will be suitable for use in all cases and should be evaluated in each environment before use.</t>
    </r>
    <r>
      <rPr>
        <sz val="11"/>
        <color rgb="FF000000"/>
        <rFont val="Calibri"/>
      </rPr>
      <t xml:space="preserve">
</t>
    </r>
    <r>
      <rPr>
        <sz val="11"/>
        <color rgb="FF000000"/>
        <rFont val="Calibri"/>
      </rPr>
      <t>A list of App IDs for application layer rules is available here: https://docs.vmware.com/en/NSX-Application-IDs/index.html.</t>
    </r>
  </si>
  <si>
    <r>
      <rPr>
        <sz val="11"/>
        <color rgb="FF000000"/>
        <rFont val="Calibri"/>
      </rPr>
      <t>Application inspection enables the firewall to control traffic based on different parameters that exist within the packets such as enforcing application-specific message and field length. Inspection provides improved protection against application-based attacks by restricting the types of commands allowed for the applications. Application inspection all enforces conformance against published RFCs.</t>
    </r>
    <r>
      <rPr>
        <sz val="11"/>
        <color rgb="FF000000"/>
        <rFont val="Calibri"/>
      </rPr>
      <t xml:space="preserve">
</t>
    </r>
    <r>
      <rPr>
        <sz val="11"/>
        <color rgb="FF000000"/>
        <rFont val="Calibri"/>
      </rPr>
      <t>Some applications embed an IP address in the packet that needs to match the source address that is normally translated when it goes through the firewall. By enabling application inspection for a service that embeds IP addresses, the firewall translates embedded addresses and updates any checksum or other fields that are affected by the translation. By enabling application inspection for a service that uses dynamically assigned ports, the firewall monitors sessions to identify the dynamic port assignments, and permits data exchange on these ports for the duration of the specific session.</t>
    </r>
  </si>
  <si>
    <r>
      <rPr>
        <sz val="11"/>
        <color rgb="FF000000"/>
        <rFont val="Calibri"/>
      </rPr>
      <t>From the NSX Manager web interface, navigate to Security &gt;&gt; Distributed Firewall &gt;&gt; All Rules.</t>
    </r>
    <r>
      <rPr>
        <sz val="11"/>
        <color rgb="FF000000"/>
        <rFont val="Calibri"/>
      </rPr>
      <t xml:space="preserve">
</t>
    </r>
    <r>
      <rPr>
        <sz val="11"/>
        <color rgb="FF000000"/>
        <rFont val="Calibri"/>
      </rPr>
      <t>Review rules that do not have a Context Profile assigned. For example, if a rule exists to allow SSH by service or custom port, then it should have the associated SSH Context Profile applied.</t>
    </r>
    <r>
      <rPr>
        <sz val="11"/>
        <color rgb="FF000000"/>
        <rFont val="Calibri"/>
      </rPr>
      <t xml:space="preserve">
</t>
    </r>
    <r>
      <rPr>
        <sz val="11"/>
        <color rgb="FF000000"/>
        <rFont val="Calibri"/>
      </rPr>
      <t>If any rules with services defined have an associated suitable Context Profile but do not have one applied, this is a finding.</t>
    </r>
  </si>
  <si>
    <t>V-265630</t>
  </si>
  <si>
    <r>
      <rPr>
        <sz val="11"/>
        <rFont val="Calibri"/>
      </rPr>
      <t>The NSX Distributed Firewall must configure SpoofGuard to restrict it from accepting outbound packets that contain an illegitimate address in the source address.</t>
    </r>
  </si>
  <si>
    <r>
      <rPr>
        <sz val="11"/>
        <color rgb="FF000000"/>
        <rFont val="Calibri"/>
      </rPr>
      <t>To create a segment profile with SpoofGuard enabled, do the following:</t>
    </r>
    <r>
      <rPr>
        <sz val="11"/>
        <color rgb="FF000000"/>
        <rFont val="Calibri"/>
      </rPr>
      <t xml:space="preserve">
</t>
    </r>
    <r>
      <rPr>
        <sz val="11"/>
        <color rgb="FF000000"/>
        <rFont val="Calibri"/>
      </rPr>
      <t>From the NSX Manager web interface, navigate to Networking &gt;&gt; Connectivity &gt;&gt; Segments &gt;&gt; Profiles &gt;&gt; Segment Profiles &gt;&gt; Add Segment Profile &gt;&gt; SpoofGuard.</t>
    </r>
    <r>
      <rPr>
        <sz val="11"/>
        <color rgb="FF000000"/>
        <rFont val="Calibri"/>
      </rPr>
      <t xml:space="preserve">
</t>
    </r>
    <r>
      <rPr>
        <sz val="11"/>
        <color rgb="FF000000"/>
        <rFont val="Calibri"/>
      </rPr>
      <t>Enter a profile name and enable port bindings, then click "Save".</t>
    </r>
    <r>
      <rPr>
        <sz val="11"/>
        <color rgb="FF000000"/>
        <rFont val="Calibri"/>
      </rPr>
      <t xml:space="preserve">
</t>
    </r>
    <r>
      <rPr>
        <sz val="11"/>
        <color rgb="FF000000"/>
        <rFont val="Calibri"/>
      </rPr>
      <t>To update a segments SpoofGuard profile, do the following:</t>
    </r>
    <r>
      <rPr>
        <sz val="11"/>
        <color rgb="FF000000"/>
        <rFont val="Calibri"/>
      </rPr>
      <t xml:space="preserve">
</t>
    </r>
    <r>
      <rPr>
        <sz val="11"/>
        <color rgb="FF000000"/>
        <rFont val="Calibri"/>
      </rPr>
      <t>From the NSX Manager web interface, navigate to the Networking &gt;&gt; Connectivity &gt;&gt; Segments &gt;&gt; NSX, and click "Edit" from the drop-down menu next to the target segment.</t>
    </r>
    <r>
      <rPr>
        <sz val="11"/>
        <color rgb="FF000000"/>
        <rFont val="Calibri"/>
      </rPr>
      <t xml:space="preserve">
</t>
    </r>
    <r>
      <rPr>
        <sz val="11"/>
        <color rgb="FF000000"/>
        <rFont val="Calibri"/>
      </rPr>
      <t>Expand "Segment Profiles" then choose the new SpoofGuard profile from the drop-down list, and then click "Save".</t>
    </r>
  </si>
  <si>
    <r>
      <rPr>
        <sz val="11"/>
        <color rgb="FF000000"/>
        <rFont val="Calibri"/>
      </rPr>
      <t>A compromised host in an enclave can be used by a malicious platform to launch cyberattacks on third parties. This is a common practice in "botnets", which are a collection of compromised computers using malware to attack other computers or networks. Distributed denial-of-service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t>
    </r>
    <r>
      <rPr>
        <sz val="11"/>
        <color rgb="FF000000"/>
        <rFont val="Calibri"/>
      </rPr>
      <t xml:space="preserve">
</t>
    </r>
    <r>
      <rPr>
        <sz val="11"/>
        <color rgb="FF000000"/>
        <rFont val="Calibri"/>
      </rPr>
      <t>SpoofGuard is a tool that is designed to prevent virtual machines from sending traffic with an IP address from which it is not authorized to send traffic. In the instance that a virtual machine's IP address does not match the IP address on the corresponding logical port and segment address binding in SpoofGuard, the virtual machine's virtual network interface card (vNIC) is prevented from accessing the network entirely. SpoofGuard can be configured at the port or segment level. There are several reasons SpoofGuard might be used, but for the distributed firewall it will guarantee that rules will not be inadvertently (or deliberately) bypassed. For distributed firewall (DFW) rules created using IP sets as sources or destinations, the possibility always exists that a virtual machine could have its IP address forged in the packet header, thereby bypassing the rules in question.</t>
    </r>
  </si>
  <si>
    <r>
      <rPr>
        <sz val="11"/>
        <color rgb="FF000000"/>
        <rFont val="Calibri"/>
      </rPr>
      <t>Identity SpoofGuard profiles in use by doing the following:</t>
    </r>
    <r>
      <rPr>
        <sz val="11"/>
        <color rgb="FF000000"/>
        <rFont val="Calibri"/>
      </rPr>
      <t xml:space="preserve">
</t>
    </r>
    <r>
      <rPr>
        <sz val="11"/>
        <color rgb="FF000000"/>
        <rFont val="Calibri"/>
      </rPr>
      <t>From the NSX Manager web interface, navigate to Networking &gt;&gt; Connectivity &gt;&gt; Segments &gt;&gt; NSX.</t>
    </r>
    <r>
      <rPr>
        <sz val="11"/>
        <color rgb="FF000000"/>
        <rFont val="Calibri"/>
      </rPr>
      <t xml:space="preserve">
</t>
    </r>
    <r>
      <rPr>
        <sz val="11"/>
        <color rgb="FF000000"/>
        <rFont val="Calibri"/>
      </rPr>
      <t>For each segment, expand view Segment Profiles &gt;&gt; SpoofGuard to note the profiles in use.</t>
    </r>
    <r>
      <rPr>
        <sz val="11"/>
        <color rgb="FF000000"/>
        <rFont val="Calibri"/>
      </rPr>
      <t xml:space="preserve">
</t>
    </r>
    <r>
      <rPr>
        <sz val="11"/>
        <color rgb="FF000000"/>
        <rFont val="Calibri"/>
      </rPr>
      <t>Review SpoofGuard profile configuration by doing the following:</t>
    </r>
    <r>
      <rPr>
        <sz val="11"/>
        <color rgb="FF000000"/>
        <rFont val="Calibri"/>
      </rPr>
      <t xml:space="preserve">
</t>
    </r>
    <r>
      <rPr>
        <sz val="11"/>
        <color rgb="FF000000"/>
        <rFont val="Calibri"/>
      </rPr>
      <t>From the NSX Manager web interface, navigate to Networking &gt;&gt; Connectivity &gt;&gt; Segments &gt;&gt; Profiles &gt;&gt; Segment Profiles.</t>
    </r>
    <r>
      <rPr>
        <sz val="11"/>
        <color rgb="FF000000"/>
        <rFont val="Calibri"/>
      </rPr>
      <t xml:space="preserve">
</t>
    </r>
    <r>
      <rPr>
        <sz val="11"/>
        <color rgb="FF000000"/>
        <rFont val="Calibri"/>
      </rPr>
      <t>Review the SpoofGuard profiles previously identified as assigned to segments to ensure the following configuration:</t>
    </r>
    <r>
      <rPr>
        <sz val="11"/>
        <color rgb="FF000000"/>
        <rFont val="Calibri"/>
      </rPr>
      <t xml:space="preserve">
</t>
    </r>
    <r>
      <rPr>
        <sz val="11"/>
        <color rgb="FF000000"/>
        <rFont val="Calibri"/>
      </rPr>
      <t>Port Bindings: Yes</t>
    </r>
    <r>
      <rPr>
        <sz val="11"/>
        <color rgb="FF000000"/>
        <rFont val="Calibri"/>
      </rPr>
      <t xml:space="preserve">
</t>
    </r>
    <r>
      <rPr>
        <sz val="11"/>
        <color rgb="FF000000"/>
        <rFont val="Calibri"/>
      </rPr>
      <t>If a segment is not configured with a SpoofGuard profile that has port bindings enabled, this is a finding.</t>
    </r>
  </si>
  <si>
    <t>V-265633</t>
  </si>
  <si>
    <r>
      <rPr>
        <sz val="11"/>
        <rFont val="Calibri"/>
      </rPr>
      <t>The NSX Distributed Firewall must configure an IP Discovery profile to disable trust on every use method.</t>
    </r>
  </si>
  <si>
    <r>
      <rPr>
        <sz val="11"/>
        <color rgb="FF000000"/>
        <rFont val="Calibri"/>
      </rPr>
      <t>To create a segment profile for IP Discovery, do the following:</t>
    </r>
    <r>
      <rPr>
        <sz val="11"/>
        <color rgb="FF000000"/>
        <rFont val="Calibri"/>
      </rPr>
      <t xml:space="preserve">
</t>
    </r>
    <r>
      <rPr>
        <sz val="11"/>
        <color rgb="FF000000"/>
        <rFont val="Calibri"/>
      </rPr>
      <t>From the NSX Manager web interface, navigate to Networking &gt;&gt; Connectivity &gt;&gt; Segments &gt;&gt; NSX &gt;&gt; Profiles &gt;&gt; Segment Profiles &gt;&gt; Add Segment Profile &gt;&gt; IP Discovery.</t>
    </r>
    <r>
      <rPr>
        <sz val="11"/>
        <color rgb="FF000000"/>
        <rFont val="Calibri"/>
      </rPr>
      <t xml:space="preserve">
</t>
    </r>
    <r>
      <rPr>
        <sz val="11"/>
        <color rgb="FF000000"/>
        <rFont val="Calibri"/>
      </rPr>
      <t>Enter a profile name then configure the below settings:</t>
    </r>
    <r>
      <rPr>
        <sz val="11"/>
        <color rgb="FF000000"/>
        <rFont val="Calibri"/>
      </rPr>
      <t xml:space="preserve">
</t>
    </r>
    <r>
      <rPr>
        <sz val="11"/>
        <color rgb="FF000000"/>
        <rFont val="Calibri"/>
      </rPr>
      <t>Duplicate IP Detection: Enabled</t>
    </r>
    <r>
      <rPr>
        <sz val="11"/>
        <color rgb="FF000000"/>
        <rFont val="Calibri"/>
      </rPr>
      <t xml:space="preserve">
</t>
    </r>
    <r>
      <rPr>
        <sz val="11"/>
        <color rgb="FF000000"/>
        <rFont val="Calibri"/>
      </rPr>
      <t>ARP Snooping: Enabled</t>
    </r>
    <r>
      <rPr>
        <sz val="11"/>
        <color rgb="FF000000"/>
        <rFont val="Calibri"/>
      </rPr>
      <t xml:space="preserve">
</t>
    </r>
    <r>
      <rPr>
        <sz val="11"/>
        <color rgb="FF000000"/>
        <rFont val="Calibri"/>
      </rPr>
      <t>ARP Binding Limit: 1</t>
    </r>
    <r>
      <rPr>
        <sz val="11"/>
        <color rgb="FF000000"/>
        <rFont val="Calibri"/>
      </rPr>
      <t xml:space="preserve">
</t>
    </r>
    <r>
      <rPr>
        <sz val="11"/>
        <color rgb="FF000000"/>
        <rFont val="Calibri"/>
      </rPr>
      <t>DHCP Snooping: Disabled</t>
    </r>
    <r>
      <rPr>
        <sz val="11"/>
        <color rgb="FF000000"/>
        <rFont val="Calibri"/>
      </rPr>
      <t xml:space="preserve">
</t>
    </r>
    <r>
      <rPr>
        <sz val="11"/>
        <color rgb="FF000000"/>
        <rFont val="Calibri"/>
      </rPr>
      <t>DHCP Snooping - IPv6: Disabled</t>
    </r>
    <r>
      <rPr>
        <sz val="11"/>
        <color rgb="FF000000"/>
        <rFont val="Calibri"/>
      </rPr>
      <t xml:space="preserve">
</t>
    </r>
    <r>
      <rPr>
        <sz val="11"/>
        <color rgb="FF000000"/>
        <rFont val="Calibri"/>
      </rPr>
      <t>VMware Tools: Disabled</t>
    </r>
    <r>
      <rPr>
        <sz val="11"/>
        <color rgb="FF000000"/>
        <rFont val="Calibri"/>
      </rPr>
      <t xml:space="preserve">
</t>
    </r>
    <r>
      <rPr>
        <sz val="11"/>
        <color rgb="FF000000"/>
        <rFont val="Calibri"/>
      </rPr>
      <t>VMware Tools - IPv6: Disabled</t>
    </r>
    <r>
      <rPr>
        <sz val="11"/>
        <color rgb="FF000000"/>
        <rFont val="Calibri"/>
      </rPr>
      <t xml:space="preserve">
</t>
    </r>
    <r>
      <rPr>
        <sz val="11"/>
        <color rgb="FF000000"/>
        <rFont val="Calibri"/>
      </rPr>
      <t>Trust on First Use: Enabled</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Note: ND Snooping may be enabled if IPv6 is in use.</t>
    </r>
    <r>
      <rPr>
        <sz val="11"/>
        <color rgb="FF000000"/>
        <rFont val="Calibri"/>
      </rPr>
      <t xml:space="preserve">
</t>
    </r>
    <r>
      <rPr>
        <sz val="11"/>
        <color rgb="FF000000"/>
        <rFont val="Calibri"/>
      </rPr>
      <t>To update a segments IP Discovery profile, do the following:</t>
    </r>
    <r>
      <rPr>
        <sz val="11"/>
        <color rgb="FF000000"/>
        <rFont val="Calibri"/>
      </rPr>
      <t xml:space="preserve">
</t>
    </r>
    <r>
      <rPr>
        <sz val="11"/>
        <color rgb="FF000000"/>
        <rFont val="Calibri"/>
      </rPr>
      <t>From the NSX Manager web interface, navigate to the Networking &gt;&gt; Connectivity &gt;&gt; Segments &gt;&gt; NSX, and click "Edit" from the drop-down menu next to the target segment.</t>
    </r>
    <r>
      <rPr>
        <sz val="11"/>
        <color rgb="FF000000"/>
        <rFont val="Calibri"/>
      </rPr>
      <t xml:space="preserve">
</t>
    </r>
    <r>
      <rPr>
        <sz val="11"/>
        <color rgb="FF000000"/>
        <rFont val="Calibri"/>
      </rPr>
      <t>Expand "Segment Profiles" then choose the new IP Discovery profile from the drop-down list, and then click "Save".</t>
    </r>
  </si>
  <si>
    <r>
      <rPr>
        <sz val="11"/>
        <color rgb="FF000000"/>
        <rFont val="Calibri"/>
      </rPr>
      <t>A compromised host in an enclave can be used by a malicious platform to launch cyberattacks on third parties. This is a common practice in "botnets", which are a collection of compromised computers using malware to attack other computers or networks. Distributed denial-of-service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t>
    </r>
    <r>
      <rPr>
        <sz val="11"/>
        <color rgb="FF000000"/>
        <rFont val="Calibri"/>
      </rPr>
      <t xml:space="preserve">
</t>
    </r>
    <r>
      <rPr>
        <sz val="11"/>
        <color rgb="FF000000"/>
        <rFont val="Calibri"/>
      </rPr>
      <t>IP Discovery in NSX uses DHCP and DHCPv6 snooping, Address Resolution Protocol (ARP) snooping, Neighbor Discovery (ND) snooping, and VM Tools to learn MAC and IP addresses.</t>
    </r>
    <r>
      <rPr>
        <sz val="11"/>
        <color rgb="FF000000"/>
        <rFont val="Calibri"/>
      </rPr>
      <t xml:space="preserve">
</t>
    </r>
    <r>
      <rPr>
        <sz val="11"/>
        <color rgb="FF000000"/>
        <rFont val="Calibri"/>
      </rPr>
      <t>The discovered MAC and IP addresses are used to achieve ARP/ND suppression, which minimizes traffic between VMs connected to the same logical switch. The addresses are also used by the SpoofGuard and distributed firewall (DFW) components. DFW uses the address bindings to determine the IP address of objects in firewall rules.</t>
    </r>
    <r>
      <rPr>
        <sz val="11"/>
        <color rgb="FF000000"/>
        <rFont val="Calibri"/>
      </rPr>
      <t xml:space="preserve">
</t>
    </r>
    <r>
      <rPr>
        <sz val="11"/>
        <color rgb="FF000000"/>
        <rFont val="Calibri"/>
      </rPr>
      <t>By default, the discovery methods ARP snooping and ND snooping operate in a mode called trust on first use (TOFU). In TOFU mode, when an address is discovered and added to the realized bindings list, that binding remains in the realized list forever. TOFU applies to the first "n" unique &lt;IP, MAC, VLAN&gt; bindings discovered using ARP/ND snooping, where "n" is the configurable binding limit. Users can disable TOFU for ARP/ND snooping. The methods will then operate in trust on every use (TOEU) mode. In TOEU mode, when an address is discovered, it is added to the realized bindings list and when it is deleted or expired, it is removed from the realized bindings list. DHCP snooping and VM Tools always operate in TOEU mode.</t>
    </r>
  </si>
  <si>
    <r>
      <rPr>
        <sz val="11"/>
        <color rgb="FF000000"/>
        <rFont val="Calibri"/>
      </rPr>
      <t>Identify IP Discovery profiles in use by doing the following:</t>
    </r>
    <r>
      <rPr>
        <sz val="11"/>
        <color rgb="FF000000"/>
        <rFont val="Calibri"/>
      </rPr>
      <t xml:space="preserve">
</t>
    </r>
    <r>
      <rPr>
        <sz val="11"/>
        <color rgb="FF000000"/>
        <rFont val="Calibri"/>
      </rPr>
      <t>From the NSX Manager web interface, navigate to Networking &gt;&gt; Connectivity &gt;&gt; Segments &gt;&gt; NSX.</t>
    </r>
    <r>
      <rPr>
        <sz val="11"/>
        <color rgb="FF000000"/>
        <rFont val="Calibri"/>
      </rPr>
      <t xml:space="preserve">
</t>
    </r>
    <r>
      <rPr>
        <sz val="11"/>
        <color rgb="FF000000"/>
        <rFont val="Calibri"/>
      </rPr>
      <t>For each segment, expand view Segment Profiles &gt;&gt; IP Discovery to note the profiles in use.</t>
    </r>
    <r>
      <rPr>
        <sz val="11"/>
        <color rgb="FF000000"/>
        <rFont val="Calibri"/>
      </rPr>
      <t xml:space="preserve">
</t>
    </r>
    <r>
      <rPr>
        <sz val="11"/>
        <color rgb="FF000000"/>
        <rFont val="Calibri"/>
      </rPr>
      <t>Review IP Discovery profile configuration by doing the following:</t>
    </r>
    <r>
      <rPr>
        <sz val="11"/>
        <color rgb="FF000000"/>
        <rFont val="Calibri"/>
      </rPr>
      <t xml:space="preserve">
</t>
    </r>
    <r>
      <rPr>
        <sz val="11"/>
        <color rgb="FF000000"/>
        <rFont val="Calibri"/>
      </rPr>
      <t>From the NSX Manager web interface, navigate to Networking &gt;&gt; Connectivity &gt;&gt; Segments &gt;&gt; Profiles &gt;&gt; Segment Profiles.</t>
    </r>
    <r>
      <rPr>
        <sz val="11"/>
        <color rgb="FF000000"/>
        <rFont val="Calibri"/>
      </rPr>
      <t xml:space="preserve">
</t>
    </r>
    <r>
      <rPr>
        <sz val="11"/>
        <color rgb="FF000000"/>
        <rFont val="Calibri"/>
      </rPr>
      <t>Review the IP Discovery profiles previously identified as assigned to segments to ensure the following configuration:</t>
    </r>
    <r>
      <rPr>
        <sz val="11"/>
        <color rgb="FF000000"/>
        <rFont val="Calibri"/>
      </rPr>
      <t xml:space="preserve">
</t>
    </r>
    <r>
      <rPr>
        <sz val="11"/>
        <color rgb="FF000000"/>
        <rFont val="Calibri"/>
      </rPr>
      <t>Duplicate IP Detection: Enabled</t>
    </r>
    <r>
      <rPr>
        <sz val="11"/>
        <color rgb="FF000000"/>
        <rFont val="Calibri"/>
      </rPr>
      <t xml:space="preserve">
</t>
    </r>
    <r>
      <rPr>
        <sz val="11"/>
        <color rgb="FF000000"/>
        <rFont val="Calibri"/>
      </rPr>
      <t>ARP Snooping: Enabled</t>
    </r>
    <r>
      <rPr>
        <sz val="11"/>
        <color rgb="FF000000"/>
        <rFont val="Calibri"/>
      </rPr>
      <t xml:space="preserve">
</t>
    </r>
    <r>
      <rPr>
        <sz val="11"/>
        <color rgb="FF000000"/>
        <rFont val="Calibri"/>
      </rPr>
      <t>ARP Binding Limit: 1</t>
    </r>
    <r>
      <rPr>
        <sz val="11"/>
        <color rgb="FF000000"/>
        <rFont val="Calibri"/>
      </rPr>
      <t xml:space="preserve">
</t>
    </r>
    <r>
      <rPr>
        <sz val="11"/>
        <color rgb="FF000000"/>
        <rFont val="Calibri"/>
      </rPr>
      <t>DHCP Snooping: Disabled</t>
    </r>
    <r>
      <rPr>
        <sz val="11"/>
        <color rgb="FF000000"/>
        <rFont val="Calibri"/>
      </rPr>
      <t xml:space="preserve">
</t>
    </r>
    <r>
      <rPr>
        <sz val="11"/>
        <color rgb="FF000000"/>
        <rFont val="Calibri"/>
      </rPr>
      <t>DHCP Snooping - IPv6: Disabled</t>
    </r>
    <r>
      <rPr>
        <sz val="11"/>
        <color rgb="FF000000"/>
        <rFont val="Calibri"/>
      </rPr>
      <t xml:space="preserve">
</t>
    </r>
    <r>
      <rPr>
        <sz val="11"/>
        <color rgb="FF000000"/>
        <rFont val="Calibri"/>
      </rPr>
      <t>VMware Tools: Disabled</t>
    </r>
    <r>
      <rPr>
        <sz val="11"/>
        <color rgb="FF000000"/>
        <rFont val="Calibri"/>
      </rPr>
      <t xml:space="preserve">
</t>
    </r>
    <r>
      <rPr>
        <sz val="11"/>
        <color rgb="FF000000"/>
        <rFont val="Calibri"/>
      </rPr>
      <t>VMware Tools - IPv6: Disabled</t>
    </r>
    <r>
      <rPr>
        <sz val="11"/>
        <color rgb="FF000000"/>
        <rFont val="Calibri"/>
      </rPr>
      <t xml:space="preserve">
</t>
    </r>
    <r>
      <rPr>
        <sz val="11"/>
        <color rgb="FF000000"/>
        <rFont val="Calibri"/>
      </rPr>
      <t>Trust on First Use: Enabled</t>
    </r>
    <r>
      <rPr>
        <sz val="11"/>
        <color rgb="FF000000"/>
        <rFont val="Calibri"/>
      </rPr>
      <t xml:space="preserve">
</t>
    </r>
    <r>
      <rPr>
        <sz val="11"/>
        <color rgb="FF000000"/>
        <rFont val="Calibri"/>
      </rPr>
      <t>If a segment is not configured with an IP Discovery profile that is configured with the settings above,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</si>
  <si>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</si>
  <si>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</si>
  <si>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</si>
  <si>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</si>
  <si>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</si>
  <si>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</si>
  <si>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</si>
  <si>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</si>
  <si>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</si>
  <si>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</si>
  <si>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</si>
  <si>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</si>
  <si>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</si>
  <si>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</si>
  <si>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</si>
  <si>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</si>
  <si>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</si>
  <si>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</si>
  <si>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</si>
  <si>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</si>
  <si>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</si>
  <si>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</si>
  <si>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</si>
  <si>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</si>
  <si>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</si>
  <si>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</si>
  <si>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</si>
  <si>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</si>
  <si>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</si>
  <si>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NSX 4.x Security Technical Implementation Guide Y25M01</t>
  </si>
  <si>
    <t>Developed By:</t>
  </si>
  <si>
    <t>VMware and Defense Information Systems Agency (DISA) for the US DoD</t>
  </si>
  <si>
    <t>Release Information:</t>
  </si>
  <si>
    <r>
      <rPr>
        <b/>
        <sz val="11"/>
        <color rgb="FF000000"/>
        <rFont val="Calibri"/>
      </rPr>
      <t>Version:</t>
    </r>
    <r>
      <rPr>
        <sz val="11"/>
        <color rgb="FF000000"/>
        <rFont val="Calibri"/>
      </rPr>
      <t xml:space="preserve"> Y25M01    </t>
    </r>
    <r>
      <rPr>
        <b/>
        <sz val="11"/>
        <color rgb="FF000000"/>
        <rFont val="Calibri"/>
      </rPr>
      <t>Date:</t>
    </r>
    <r>
      <rPr>
        <sz val="11"/>
        <color rgb="FF000000"/>
        <rFont val="Calibri"/>
      </rPr>
      <t xml:space="preserve"> 30 January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63</t>
    </r>
  </si>
  <si>
    <t>Download Url:</t>
  </si>
  <si>
    <t>https://www.cyber.mil/stigs</t>
  </si>
  <si>
    <t>Guide Overview:</t>
  </si>
  <si>
    <r>
      <rPr>
        <sz val="11"/>
        <color rgb="FF000000"/>
        <rFont val="Calibri"/>
      </rPr>
      <t>With network virtualization, the functional equivalent of a network hypervisor reproduces the complete set of Layer 2 through Layer 7 networking services (for example, switching, routing, access control, firewalling, Quality-of-Service [QoS]) in software. As a result, these services can be programmatically assembled in any arbitrary combination to produce unique, isolated virtual networks. NSX Data Center works by implementing three separate but integrated planes: management, control, and data. The three planes are implemented as a set of processes, modules, and agents residing on three types of nodes: manager, controller, and transport. The VMware NSX 4.x Security Technical Implementation Guide (STIG) provides security policy and technical configuration requirements for the use of NSX in the Department of Defense (DOD).</t>
    </r>
    <r>
      <rPr>
        <sz val="11"/>
        <color rgb="FF000000"/>
        <rFont val="Calibri"/>
      </rPr>
      <t xml:space="preserve">
</t>
    </r>
    <r>
      <rPr>
        <sz val="11"/>
        <color rgb="FF000000"/>
        <rFont val="Calibri"/>
      </rPr>
      <t>The VMware NSX 4.x STIG comprises the following individual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 4.x Manager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 4.x Distributed Firewall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 4.x Tier-0 Gateway Router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 4.x Tier-0 Gateway Firewall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 4.x Tier-1 Gateway Router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VMware NSX 4.x Tier-1 Gateway Firewall STIG.</t>
    </r>
  </si>
  <si>
    <t>Components:</t>
  </si>
  <si>
    <r>
      <rPr>
        <i/>
        <sz val="11"/>
        <color rgb="FF000000"/>
        <rFont val="Calibri"/>
      </rPr>
      <t>Title:</t>
    </r>
    <r>
      <rPr>
        <sz val="11"/>
        <color rgb="FF000000"/>
        <rFont val="Calibri"/>
      </rPr>
      <t xml:space="preserve"> VMware NSX 4.x Manager NDM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28</t>
    </r>
  </si>
  <si>
    <r>
      <rPr>
        <i/>
        <sz val="11"/>
        <color rgb="FF000000"/>
        <rFont val="Calibri"/>
      </rPr>
      <t>Title:</t>
    </r>
    <r>
      <rPr>
        <sz val="11"/>
        <color rgb="FF000000"/>
        <rFont val="Calibri"/>
      </rPr>
      <t xml:space="preserve"> VMware NSX 4.x Tier-0 Gateway Firewall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4</t>
    </r>
  </si>
  <si>
    <r>
      <rPr>
        <i/>
        <sz val="11"/>
        <color rgb="FF000000"/>
        <rFont val="Calibri"/>
      </rPr>
      <t>Title:</t>
    </r>
    <r>
      <rPr>
        <sz val="11"/>
        <color rgb="FF000000"/>
        <rFont val="Calibri"/>
      </rPr>
      <t xml:space="preserve"> VMware NSX 4.x Tier-0 Gateway Router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16</t>
    </r>
  </si>
  <si>
    <r>
      <rPr>
        <i/>
        <sz val="11"/>
        <color rgb="FF000000"/>
        <rFont val="Calibri"/>
      </rPr>
      <t>Title:</t>
    </r>
    <r>
      <rPr>
        <sz val="11"/>
        <color rgb="FF000000"/>
        <rFont val="Calibri"/>
      </rPr>
      <t xml:space="preserve"> VMware NSX 4.x Tier-1 Gateway Firewall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5</t>
    </r>
  </si>
  <si>
    <r>
      <rPr>
        <i/>
        <sz val="11"/>
        <color rgb="FF000000"/>
        <rFont val="Calibri"/>
      </rPr>
      <t>Title:</t>
    </r>
    <r>
      <rPr>
        <sz val="11"/>
        <color rgb="FF000000"/>
        <rFont val="Calibri"/>
      </rPr>
      <t xml:space="preserve"> VMware NSX 4.x Tier-1 Gateway Router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4</t>
    </r>
  </si>
  <si>
    <r>
      <rPr>
        <i/>
        <sz val="11"/>
        <color rgb="FF000000"/>
        <rFont val="Calibri"/>
      </rPr>
      <t>Title:</t>
    </r>
    <r>
      <rPr>
        <sz val="11"/>
        <color rgb="FF000000"/>
        <rFont val="Calibri"/>
      </rPr>
      <t xml:space="preserve"> VMware NSX 4.x Distributed Firewall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6</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</si>
  <si>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</si>
  <si>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</si>
  <si>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</si>
  <si>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</si>
  <si>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</si>
  <si>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</si>
  <si>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</si>
  <si>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</si>
  <si>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</si>
  <si>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</si>
  <si>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</si>
  <si>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</si>
  <si>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</si>
  <si>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</si>
  <si>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</si>
  <si>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</si>
  <si>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</si>
  <si>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</si>
  <si>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</si>
  <si>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</si>
  <si>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</si>
  <si>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</si>
  <si>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</si>
  <si>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</si>
  <si>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</si>
  <si>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</si>
  <si>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</si>
  <si>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</si>
  <si>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</si>
  <si>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</si>
  <si>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</si>
  <si>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</si>
  <si>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</si>
  <si>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</si>
  <si>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</si>
  <si>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</si>
  <si>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</si>
  <si>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</si>
  <si>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</si>
  <si>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</si>
  <si>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</si>
  <si>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</si>
  <si>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</si>
  <si>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</si>
  <si>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</si>
  <si>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</si>
  <si>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</si>
  <si>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VMware NSX 4.x Security Technical Implementation Guide Y25M01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</si>
  <si>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</si>
  <si>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</si>
  <si>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</si>
  <si>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</si>
  <si>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</si>
  <si>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</si>
  <si>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</si>
  <si>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</si>
  <si>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</si>
  <si>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</si>
  <si>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</si>
  <si>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</si>
  <si>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</si>
  <si>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</si>
  <si>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</si>
  <si>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</si>
  <si>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</si>
  <si>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</si>
  <si>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</si>
  <si>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</si>
  <si>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</si>
  <si>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</si>
  <si>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</si>
  <si>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</si>
  <si>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</si>
  <si>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</si>
  <si>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</si>
  <si>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</si>
  <si>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</si>
  <si>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</si>
  <si>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</si>
  <si>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</si>
  <si>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</si>
  <si>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</si>
  <si>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</si>
  <si>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</si>
  <si>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</si>
  <si>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</si>
  <si>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</si>
  <si>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</si>
  <si>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</si>
  <si>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</si>
  <si>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</si>
  <si>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</si>
  <si>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</si>
  <si>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</si>
  <si>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</si>
  <si>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(C92)</t>
  </si>
  <si>
    <t>% Must</t>
  </si>
  <si>
    <t>Should Count (C93)</t>
  </si>
  <si>
    <t>% Should</t>
  </si>
  <si>
    <t>Could Count (C94)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</si>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</sst>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A9A-4453-81AC-0DA4E23688A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A9A-4453-81AC-0DA4E23688A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63</c:v>
                </c:pt>
              </c:numCache>
            </c:numRef>
          </c:val>
          <c:extLst>
            <c:ext xmlns:c16="http://schemas.microsoft.com/office/drawing/2014/chart" uri="{C3380CC4-5D6E-409C-BE32-E72D297353CC}">
              <c16:uniqueId val="{00000002-6A9A-4453-81AC-0DA4E23688A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Distributed Firewall</c:v>
                </c:pt>
                <c:pt idx="1">
                  <c:v>Manager NDM</c:v>
                </c:pt>
                <c:pt idx="2">
                  <c:v>Tier-0 Gateway Firewall</c:v>
                </c:pt>
                <c:pt idx="3">
                  <c:v>Tier-0 Gateway Router</c:v>
                </c:pt>
                <c:pt idx="4">
                  <c:v>Tier-1 Gateway Firewall</c:v>
                </c:pt>
                <c:pt idx="5">
                  <c:v>Tier-1 Gateway Router</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408-4D15-822B-E41E27D0B8E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Distributed Firewall</c:v>
                </c:pt>
                <c:pt idx="1">
                  <c:v>Manager NDM</c:v>
                </c:pt>
                <c:pt idx="2">
                  <c:v>Tier-0 Gateway Firewall</c:v>
                </c:pt>
                <c:pt idx="3">
                  <c:v>Tier-0 Gateway Router</c:v>
                </c:pt>
                <c:pt idx="4">
                  <c:v>Tier-1 Gateway Firewall</c:v>
                </c:pt>
                <c:pt idx="5">
                  <c:v>Tier-1 Gateway Router</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408-4D15-822B-E41E27D0B8E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Distributed Firewall</c:v>
                </c:pt>
                <c:pt idx="1">
                  <c:v>Manager NDM</c:v>
                </c:pt>
                <c:pt idx="2">
                  <c:v>Tier-0 Gateway Firewall</c:v>
                </c:pt>
                <c:pt idx="3">
                  <c:v>Tier-0 Gateway Router</c:v>
                </c:pt>
                <c:pt idx="4">
                  <c:v>Tier-1 Gateway Firewall</c:v>
                </c:pt>
                <c:pt idx="5">
                  <c:v>Tier-1 Gateway Router</c:v>
                </c:pt>
              </c:strCache>
            </c:strRef>
          </c:cat>
          <c:val>
            <c:numRef>
              <c:f>Dashboard!$E$29:$E$34</c:f>
              <c:numCache>
                <c:formatCode>General</c:formatCode>
                <c:ptCount val="6"/>
                <c:pt idx="0">
                  <c:v>6</c:v>
                </c:pt>
                <c:pt idx="1">
                  <c:v>28</c:v>
                </c:pt>
                <c:pt idx="2">
                  <c:v>4</c:v>
                </c:pt>
                <c:pt idx="3">
                  <c:v>16</c:v>
                </c:pt>
                <c:pt idx="4">
                  <c:v>5</c:v>
                </c:pt>
                <c:pt idx="5">
                  <c:v>4</c:v>
                </c:pt>
              </c:numCache>
            </c:numRef>
          </c:val>
          <c:extLst>
            <c:ext xmlns:c16="http://schemas.microsoft.com/office/drawing/2014/chart" uri="{C3380CC4-5D6E-409C-BE32-E72D297353CC}">
              <c16:uniqueId val="{00000002-4408-4D15-822B-E41E27D0B8E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Dashboard!$C$52:$C$57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483-4DBE-8173-AAE423DF638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Dashboard!$D$52:$D$57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483-4DBE-8173-AAE423DF638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Dashboard!$B$52:$B$57</c:f>
              <c:strCache>
                <c:ptCount val="6"/>
                <c:pt idx="0">
                  <c:v>Phase1</c:v>
                </c:pt>
                <c:pt idx="1">
                  <c:v>Phase2</c:v>
                </c:pt>
                <c:pt idx="2">
                  <c:v>Phase3</c:v>
                </c:pt>
                <c:pt idx="3">
                  <c:v>Phase4</c:v>
                </c:pt>
                <c:pt idx="4">
                  <c:v>Phase5</c:v>
                </c:pt>
                <c:pt idx="5">
                  <c:v>Pending</c:v>
                </c:pt>
              </c:strCache>
            </c:strRef>
          </c:cat>
          <c:val>
            <c:numRef>
              <c:f>Dashboard!$E$52:$E$57</c:f>
              <c:numCache>
                <c:formatCode>General</c:formatCode>
                <c:ptCount val="6"/>
                <c:pt idx="0">
                  <c:v>0</c:v>
                </c:pt>
                <c:pt idx="1">
                  <c:v>0</c:v>
                </c:pt>
                <c:pt idx="2">
                  <c:v>0</c:v>
                </c:pt>
                <c:pt idx="3">
                  <c:v>0</c:v>
                </c:pt>
                <c:pt idx="4">
                  <c:v>0</c:v>
                </c:pt>
                <c:pt idx="5">
                  <c:v>63</c:v>
                </c:pt>
              </c:numCache>
            </c:numRef>
          </c:val>
          <c:extLst>
            <c:ext xmlns:c16="http://schemas.microsoft.com/office/drawing/2014/chart" uri="{C3380CC4-5D6E-409C-BE32-E72D297353CC}">
              <c16:uniqueId val="{00000002-2483-4DBE-8173-AAE423DF638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Dashboard!$B$75:$B$77</c:f>
              <c:strCache>
                <c:ptCount val="3"/>
                <c:pt idx="0">
                  <c:v>CAT I (High)</c:v>
                </c:pt>
                <c:pt idx="1">
                  <c:v>CAT II (Medium)</c:v>
                </c:pt>
                <c:pt idx="2">
                  <c:v>CAT III (Low)</c:v>
                </c:pt>
              </c:strCache>
            </c:strRef>
          </c:cat>
          <c:val>
            <c:numRef>
              <c:f>Dashboard!$C$75:$C$77</c:f>
              <c:numCache>
                <c:formatCode>General</c:formatCode>
                <c:ptCount val="3"/>
                <c:pt idx="0">
                  <c:v>0</c:v>
                </c:pt>
                <c:pt idx="1">
                  <c:v>0</c:v>
                </c:pt>
                <c:pt idx="2">
                  <c:v>0</c:v>
                </c:pt>
              </c:numCache>
            </c:numRef>
          </c:val>
          <c:extLst>
            <c:ext xmlns:c16="http://schemas.microsoft.com/office/drawing/2014/chart" uri="{C3380CC4-5D6E-409C-BE32-E72D297353CC}">
              <c16:uniqueId val="{00000000-A2A2-4848-945C-C40E03F658E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Dashboard!$B$75:$B$77</c:f>
              <c:strCache>
                <c:ptCount val="3"/>
                <c:pt idx="0">
                  <c:v>CAT I (High)</c:v>
                </c:pt>
                <c:pt idx="1">
                  <c:v>CAT II (Medium)</c:v>
                </c:pt>
                <c:pt idx="2">
                  <c:v>CAT III (Low)</c:v>
                </c:pt>
              </c:strCache>
            </c:strRef>
          </c:cat>
          <c:val>
            <c:numRef>
              <c:f>Dashboard!$D$75:$D$77</c:f>
              <c:numCache>
                <c:formatCode>General</c:formatCode>
                <c:ptCount val="3"/>
                <c:pt idx="0">
                  <c:v>0</c:v>
                </c:pt>
                <c:pt idx="1">
                  <c:v>0</c:v>
                </c:pt>
                <c:pt idx="2">
                  <c:v>0</c:v>
                </c:pt>
              </c:numCache>
            </c:numRef>
          </c:val>
          <c:extLst>
            <c:ext xmlns:c16="http://schemas.microsoft.com/office/drawing/2014/chart" uri="{C3380CC4-5D6E-409C-BE32-E72D297353CC}">
              <c16:uniqueId val="{00000001-A2A2-4848-945C-C40E03F658E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Dashboard!$B$75:$B$77</c:f>
              <c:strCache>
                <c:ptCount val="3"/>
                <c:pt idx="0">
                  <c:v>CAT I (High)</c:v>
                </c:pt>
                <c:pt idx="1">
                  <c:v>CAT II (Medium)</c:v>
                </c:pt>
                <c:pt idx="2">
                  <c:v>CAT III (Low)</c:v>
                </c:pt>
              </c:strCache>
            </c:strRef>
          </c:cat>
          <c:val>
            <c:numRef>
              <c:f>Dashboard!$E$75:$E$77</c:f>
              <c:numCache>
                <c:formatCode>General</c:formatCode>
                <c:ptCount val="3"/>
                <c:pt idx="0">
                  <c:v>16</c:v>
                </c:pt>
                <c:pt idx="1">
                  <c:v>37</c:v>
                </c:pt>
                <c:pt idx="2">
                  <c:v>10</c:v>
                </c:pt>
              </c:numCache>
            </c:numRef>
          </c:val>
          <c:extLst>
            <c:ext xmlns:c16="http://schemas.microsoft.com/office/drawing/2014/chart" uri="{C3380CC4-5D6E-409C-BE32-E72D297353CC}">
              <c16:uniqueId val="{00000002-A2A2-4848-945C-C40E03F658E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Dashboard!$B$92:$B$96</c:f>
              <c:strCache>
                <c:ptCount val="5"/>
                <c:pt idx="0">
                  <c:v>Must</c:v>
                </c:pt>
                <c:pt idx="1">
                  <c:v>Should</c:v>
                </c:pt>
                <c:pt idx="2">
                  <c:v>Could</c:v>
                </c:pt>
                <c:pt idx="3">
                  <c:v>Won't</c:v>
                </c:pt>
                <c:pt idx="4">
                  <c:v>Unassigned</c:v>
                </c:pt>
              </c:strCache>
            </c:strRef>
          </c:cat>
          <c:val>
            <c:numRef>
              <c:f>Dashboard!$C$92:$C$96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C0B-4D61-82A7-0AEE7A250B4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Dashboard!$B$92:$B$96</c:f>
              <c:strCache>
                <c:ptCount val="5"/>
                <c:pt idx="0">
                  <c:v>Must</c:v>
                </c:pt>
                <c:pt idx="1">
                  <c:v>Should</c:v>
                </c:pt>
                <c:pt idx="2">
                  <c:v>Could</c:v>
                </c:pt>
                <c:pt idx="3">
                  <c:v>Won't</c:v>
                </c:pt>
                <c:pt idx="4">
                  <c:v>Unassigned</c:v>
                </c:pt>
              </c:strCache>
            </c:strRef>
          </c:cat>
          <c:val>
            <c:numRef>
              <c:f>Dashboard!$D$92:$D$96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C0B-4D61-82A7-0AEE7A250B4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Dashboard!$B$92:$B$96</c:f>
              <c:strCache>
                <c:ptCount val="5"/>
                <c:pt idx="0">
                  <c:v>Must</c:v>
                </c:pt>
                <c:pt idx="1">
                  <c:v>Should</c:v>
                </c:pt>
                <c:pt idx="2">
                  <c:v>Could</c:v>
                </c:pt>
                <c:pt idx="3">
                  <c:v>Won't</c:v>
                </c:pt>
                <c:pt idx="4">
                  <c:v>Unassigned</c:v>
                </c:pt>
              </c:strCache>
            </c:strRef>
          </c:cat>
          <c:val>
            <c:numRef>
              <c:f>Dashboard!$E$92:$E$96</c:f>
              <c:numCache>
                <c:formatCode>General</c:formatCode>
                <c:ptCount val="5"/>
                <c:pt idx="0">
                  <c:v>0</c:v>
                </c:pt>
                <c:pt idx="1">
                  <c:v>0</c:v>
                </c:pt>
                <c:pt idx="2">
                  <c:v>0</c:v>
                </c:pt>
                <c:pt idx="3">
                  <c:v>0</c:v>
                </c:pt>
                <c:pt idx="4">
                  <c:v>63</c:v>
                </c:pt>
              </c:numCache>
            </c:numRef>
          </c:val>
          <c:extLst>
            <c:ext xmlns:c16="http://schemas.microsoft.com/office/drawing/2014/chart" uri="{C3380CC4-5D6E-409C-BE32-E72D297353CC}">
              <c16:uniqueId val="{00000002-0C0B-4D61-82A7-0AEE7A250B4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Dashboard!$B$113:$B$116</c:f>
              <c:strCache>
                <c:ptCount val="4"/>
                <c:pt idx="0">
                  <c:v>Low</c:v>
                </c:pt>
                <c:pt idx="1">
                  <c:v>Medium</c:v>
                </c:pt>
                <c:pt idx="2">
                  <c:v>High</c:v>
                </c:pt>
                <c:pt idx="3">
                  <c:v>Unassessed</c:v>
                </c:pt>
              </c:strCache>
            </c:strRef>
          </c:cat>
          <c:val>
            <c:numRef>
              <c:f>Dashboard!$C$113:$C$116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F5A-491D-8A5F-E5F87098154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Dashboard!$B$113:$B$116</c:f>
              <c:strCache>
                <c:ptCount val="4"/>
                <c:pt idx="0">
                  <c:v>Low</c:v>
                </c:pt>
                <c:pt idx="1">
                  <c:v>Medium</c:v>
                </c:pt>
                <c:pt idx="2">
                  <c:v>High</c:v>
                </c:pt>
                <c:pt idx="3">
                  <c:v>Unassessed</c:v>
                </c:pt>
              </c:strCache>
            </c:strRef>
          </c:cat>
          <c:val>
            <c:numRef>
              <c:f>Dashboard!$D$113:$D$116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F5A-491D-8A5F-E5F87098154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Dashboard!$B$113:$B$116</c:f>
              <c:strCache>
                <c:ptCount val="4"/>
                <c:pt idx="0">
                  <c:v>Low</c:v>
                </c:pt>
                <c:pt idx="1">
                  <c:v>Medium</c:v>
                </c:pt>
                <c:pt idx="2">
                  <c:v>High</c:v>
                </c:pt>
                <c:pt idx="3">
                  <c:v>Unassessed</c:v>
                </c:pt>
              </c:strCache>
            </c:strRef>
          </c:cat>
          <c:val>
            <c:numRef>
              <c:f>Dashboard!$E$113:$E$116</c:f>
              <c:numCache>
                <c:formatCode>General</c:formatCode>
                <c:ptCount val="4"/>
                <c:pt idx="0">
                  <c:v>0</c:v>
                </c:pt>
                <c:pt idx="1">
                  <c:v>0</c:v>
                </c:pt>
                <c:pt idx="2">
                  <c:v>0</c:v>
                </c:pt>
                <c:pt idx="3">
                  <c:v>63</c:v>
                </c:pt>
              </c:numCache>
            </c:numRef>
          </c:val>
          <c:extLst>
            <c:ext xmlns:c16="http://schemas.microsoft.com/office/drawing/2014/chart" uri="{C3380CC4-5D6E-409C-BE32-E72D297353CC}">
              <c16:uniqueId val="{00000002-2F5A-491D-8A5F-E5F87098154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Dashboard!$P$149:$P$178</c:f>
              <c:numCache>
                <c:formatCode>yyyy\-mm\-dd</c:formatCode>
                <c:ptCount val="30"/>
              </c:numCache>
            </c:numRef>
          </c:cat>
          <c:val>
            <c:numRef>
              <c:f>Dashboard!$R$149:$R$178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61E-4DBF-920E-44E88F2C81F9}"/>
            </c:ext>
          </c:extLst>
        </c:ser>
        <c:ser>
          <c:idx val="1"/>
          <c:order val="1"/>
          <c:tx>
            <c:v>Must % Resolved</c:v>
          </c:tx>
          <c:spPr>
            <a:ln w="22225" cap="rnd">
              <a:solidFill>
                <a:schemeClr val="accent2"/>
              </a:solidFill>
              <a:round/>
            </a:ln>
            <a:effectLst/>
          </c:spPr>
          <c:marker>
            <c:symbol val="none"/>
          </c:marker>
          <c:cat>
            <c:numRef>
              <c:f>Dashboard!$P$149:$P$178</c:f>
              <c:numCache>
                <c:formatCode>yyyy\-mm\-dd</c:formatCode>
                <c:ptCount val="30"/>
              </c:numCache>
            </c:numRef>
          </c:cat>
          <c:val>
            <c:numRef>
              <c:f>Dashboard!$T$149:$T$178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61E-4DBF-920E-44E88F2C81F9}"/>
            </c:ext>
          </c:extLst>
        </c:ser>
        <c:ser>
          <c:idx val="2"/>
          <c:order val="2"/>
          <c:tx>
            <c:v>Should % Resolved</c:v>
          </c:tx>
          <c:spPr>
            <a:ln w="22225" cap="rnd">
              <a:solidFill>
                <a:schemeClr val="accent3"/>
              </a:solidFill>
              <a:round/>
            </a:ln>
            <a:effectLst/>
          </c:spPr>
          <c:marker>
            <c:symbol val="none"/>
          </c:marker>
          <c:cat>
            <c:numRef>
              <c:f>Dashboard!$P$149:$P$178</c:f>
              <c:numCache>
                <c:formatCode>yyyy\-mm\-dd</c:formatCode>
                <c:ptCount val="30"/>
              </c:numCache>
            </c:numRef>
          </c:cat>
          <c:val>
            <c:numRef>
              <c:f>Dashboard!$V$149:$V$178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61E-4DBF-920E-44E88F2C81F9}"/>
            </c:ext>
          </c:extLst>
        </c:ser>
        <c:ser>
          <c:idx val="3"/>
          <c:order val="3"/>
          <c:tx>
            <c:v>Could % Resolved</c:v>
          </c:tx>
          <c:spPr>
            <a:ln w="22225" cap="rnd">
              <a:solidFill>
                <a:schemeClr val="accent4"/>
              </a:solidFill>
              <a:round/>
            </a:ln>
            <a:effectLst/>
          </c:spPr>
          <c:marker>
            <c:symbol val="none"/>
          </c:marker>
          <c:cat>
            <c:numRef>
              <c:f>Dashboard!$P$149:$P$178</c:f>
              <c:numCache>
                <c:formatCode>yyyy\-mm\-dd</c:formatCode>
                <c:ptCount val="30"/>
              </c:numCache>
            </c:numRef>
          </c:cat>
          <c:val>
            <c:numRef>
              <c:f>Dashboard!$X$149:$X$178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61E-4DBF-920E-44E88F2C81F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Dashboard!$P$191:$P$210</c:f>
              <c:numCache>
                <c:formatCode>yyyy\-mm\-dd</c:formatCode>
                <c:ptCount val="20"/>
              </c:numCache>
            </c:numRef>
          </c:cat>
          <c:val>
            <c:numRef>
              <c:f>Dashboard!$R$191:$R$210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378-4B15-8485-1EBDBD15A48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xtpn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th5zd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49</xdr:row>
      <xdr:rowOff>95250</xdr:rowOff>
    </xdr:from>
    <xdr:to>
      <xdr:col>15</xdr:col>
      <xdr:colOff>28575</xdr:colOff>
      <xdr:row>66</xdr:row>
      <xdr:rowOff>0</xdr:rowOff>
    </xdr:to>
    <xdr:graphicFrame macro="">
      <xdr:nvGraphicFramePr>
        <xdr:cNvPr id="4" name="Chartp40ar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69</xdr:row>
      <xdr:rowOff>95250</xdr:rowOff>
    </xdr:from>
    <xdr:to>
      <xdr:col>15</xdr:col>
      <xdr:colOff>28575</xdr:colOff>
      <xdr:row>84</xdr:row>
      <xdr:rowOff>47625</xdr:rowOff>
    </xdr:to>
    <xdr:graphicFrame macro="">
      <xdr:nvGraphicFramePr>
        <xdr:cNvPr id="5" name="Chart0rqwd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88</xdr:row>
      <xdr:rowOff>95250</xdr:rowOff>
    </xdr:from>
    <xdr:to>
      <xdr:col>15</xdr:col>
      <xdr:colOff>28575</xdr:colOff>
      <xdr:row>104</xdr:row>
      <xdr:rowOff>0</xdr:rowOff>
    </xdr:to>
    <xdr:graphicFrame macro="">
      <xdr:nvGraphicFramePr>
        <xdr:cNvPr id="6" name="Chartobpy0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107</xdr:row>
      <xdr:rowOff>95250</xdr:rowOff>
    </xdr:from>
    <xdr:to>
      <xdr:col>15</xdr:col>
      <xdr:colOff>28575</xdr:colOff>
      <xdr:row>122</xdr:row>
      <xdr:rowOff>142875</xdr:rowOff>
    </xdr:to>
    <xdr:graphicFrame macro="">
      <xdr:nvGraphicFramePr>
        <xdr:cNvPr id="7" name="Chart1g1mn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144</xdr:row>
      <xdr:rowOff>95250</xdr:rowOff>
    </xdr:from>
    <xdr:to>
      <xdr:col>14</xdr:col>
      <xdr:colOff>0</xdr:colOff>
      <xdr:row>167</xdr:row>
      <xdr:rowOff>38100</xdr:rowOff>
    </xdr:to>
    <xdr:graphicFrame macro="">
      <xdr:nvGraphicFramePr>
        <xdr:cNvPr id="8" name="Chart0lfyy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185</xdr:row>
      <xdr:rowOff>95250</xdr:rowOff>
    </xdr:from>
    <xdr:to>
      <xdr:col>14</xdr:col>
      <xdr:colOff>0</xdr:colOff>
      <xdr:row>203</xdr:row>
      <xdr:rowOff>123825</xdr:rowOff>
    </xdr:to>
    <xdr:graphicFrame macro="">
      <xdr:nvGraphicFramePr>
        <xdr:cNvPr id="9" name="Chartujcjr4">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4">
  <autoFilter ref="A1:N64"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335</v>
      </c>
    </row>
    <row r="3" spans="2:3" ht="15" customHeight="1" x14ac:dyDescent="0.35"/>
    <row r="4" spans="2:3" ht="58" x14ac:dyDescent="0.35">
      <c r="B4" s="20" t="s">
        <v>336</v>
      </c>
      <c r="C4" s="21" t="s">
        <v>337</v>
      </c>
    </row>
    <row r="5" spans="2:3" x14ac:dyDescent="0.35">
      <c r="C5" s="21" t="s">
        <v>338</v>
      </c>
    </row>
    <row r="6" spans="2:3" x14ac:dyDescent="0.35">
      <c r="C6" s="18" t="s">
        <v>339</v>
      </c>
    </row>
    <row r="7" spans="2:3" ht="10" customHeight="1" x14ac:dyDescent="0.35"/>
    <row r="8" spans="2:3" ht="232" x14ac:dyDescent="0.35">
      <c r="B8" s="22" t="s">
        <v>340</v>
      </c>
      <c r="C8" s="21" t="s">
        <v>341</v>
      </c>
    </row>
    <row r="9" spans="2:3" ht="10" customHeight="1" x14ac:dyDescent="0.35"/>
    <row r="10" spans="2:3" ht="35" customHeight="1" x14ac:dyDescent="0.35">
      <c r="B10" s="22" t="s">
        <v>342</v>
      </c>
      <c r="C10" s="21" t="s">
        <v>343</v>
      </c>
    </row>
    <row r="11" spans="2:3" ht="75" customHeight="1" x14ac:dyDescent="0.35">
      <c r="B11" s="18" t="s">
        <v>21</v>
      </c>
      <c r="C11" s="21" t="s">
        <v>344</v>
      </c>
    </row>
    <row r="12" spans="2:3" ht="47" customHeight="1" x14ac:dyDescent="0.35">
      <c r="B12" s="18" t="s">
        <v>21</v>
      </c>
      <c r="C12" s="21" t="s">
        <v>345</v>
      </c>
    </row>
    <row r="13" spans="2:3" ht="35" customHeight="1" x14ac:dyDescent="0.35">
      <c r="B13" s="18" t="s">
        <v>21</v>
      </c>
      <c r="C13" s="21" t="s">
        <v>346</v>
      </c>
    </row>
    <row r="14" spans="2:3" ht="32" customHeight="1" x14ac:dyDescent="0.35">
      <c r="B14" s="18" t="s">
        <v>21</v>
      </c>
      <c r="C14" s="21" t="s">
        <v>347</v>
      </c>
    </row>
    <row r="15" spans="2:3" ht="30" customHeight="1" x14ac:dyDescent="0.35">
      <c r="B15" s="18" t="s">
        <v>21</v>
      </c>
      <c r="C15" s="21" t="s">
        <v>348</v>
      </c>
    </row>
    <row r="16" spans="2:3" ht="10" customHeight="1" x14ac:dyDescent="0.35"/>
    <row r="17" spans="1:3" ht="145" customHeight="1" x14ac:dyDescent="0.35">
      <c r="B17" s="22" t="s">
        <v>349</v>
      </c>
      <c r="C17" s="21" t="s">
        <v>350</v>
      </c>
    </row>
    <row r="18" spans="1:3" ht="10" customHeight="1" x14ac:dyDescent="0.35"/>
    <row r="19" spans="1:3" ht="3" customHeight="1" x14ac:dyDescent="0.35">
      <c r="B19" s="23"/>
      <c r="C19" s="23"/>
    </row>
    <row r="20" spans="1:3" ht="12" customHeight="1" x14ac:dyDescent="0.35"/>
    <row r="21" spans="1:3" ht="35" customHeight="1" x14ac:dyDescent="0.35">
      <c r="A21" s="25"/>
      <c r="B21" s="26" t="s">
        <v>351</v>
      </c>
      <c r="C21" s="27" t="s">
        <v>352</v>
      </c>
    </row>
    <row r="22" spans="1:3" ht="18" customHeight="1" x14ac:dyDescent="0.35">
      <c r="A22" s="25"/>
      <c r="B22" s="25" t="s">
        <v>21</v>
      </c>
      <c r="C22" s="27" t="s">
        <v>353</v>
      </c>
    </row>
    <row r="23" spans="1:3" ht="18" customHeight="1" x14ac:dyDescent="0.35">
      <c r="A23" s="25"/>
      <c r="B23" s="25" t="s">
        <v>21</v>
      </c>
      <c r="C23" s="27" t="s">
        <v>354</v>
      </c>
    </row>
    <row r="24" spans="1:3" ht="18" customHeight="1" x14ac:dyDescent="0.35">
      <c r="A24" s="25"/>
      <c r="B24" s="25" t="s">
        <v>21</v>
      </c>
      <c r="C24" s="27" t="s">
        <v>355</v>
      </c>
    </row>
    <row r="25" spans="1:3" ht="18" customHeight="1" x14ac:dyDescent="0.35">
      <c r="A25" s="25"/>
      <c r="B25" s="25" t="s">
        <v>21</v>
      </c>
      <c r="C25" s="27" t="s">
        <v>356</v>
      </c>
    </row>
    <row r="26" spans="1:3" ht="18" customHeight="1" x14ac:dyDescent="0.35">
      <c r="A26" s="25"/>
      <c r="B26" s="25" t="s">
        <v>21</v>
      </c>
      <c r="C26" s="27" t="s">
        <v>357</v>
      </c>
    </row>
    <row r="27" spans="1:3" ht="18" customHeight="1" x14ac:dyDescent="0.35">
      <c r="A27" s="25"/>
      <c r="B27" s="25" t="s">
        <v>21</v>
      </c>
      <c r="C27" s="27" t="s">
        <v>358</v>
      </c>
    </row>
    <row r="28" spans="1:3" ht="18" customHeight="1" x14ac:dyDescent="0.35">
      <c r="A28" s="25"/>
      <c r="B28" s="25" t="s">
        <v>21</v>
      </c>
      <c r="C28" s="27" t="s">
        <v>359</v>
      </c>
    </row>
    <row r="29" spans="1:3" ht="18" customHeight="1" x14ac:dyDescent="0.35">
      <c r="A29" s="25"/>
      <c r="B29" s="25" t="s">
        <v>21</v>
      </c>
      <c r="C29" s="27" t="s">
        <v>360</v>
      </c>
    </row>
    <row r="30" spans="1:3" ht="44" customHeight="1" x14ac:dyDescent="0.35">
      <c r="A30" s="25"/>
      <c r="B30" s="25" t="s">
        <v>21</v>
      </c>
      <c r="C30" s="28" t="s">
        <v>361</v>
      </c>
    </row>
    <row r="31" spans="1:3" ht="10" customHeight="1" x14ac:dyDescent="0.35"/>
    <row r="32" spans="1:3" ht="3" customHeight="1" x14ac:dyDescent="0.35">
      <c r="B32" s="23"/>
      <c r="C32" s="23"/>
    </row>
    <row r="33" spans="2:3" ht="12" customHeight="1" x14ac:dyDescent="0.35"/>
    <row r="34" spans="2:3" ht="24" customHeight="1" x14ac:dyDescent="0.35">
      <c r="B34" s="29" t="s">
        <v>362</v>
      </c>
      <c r="C34" s="30" t="s">
        <v>363</v>
      </c>
    </row>
    <row r="35" spans="2:3" ht="18.5" x14ac:dyDescent="0.35">
      <c r="B35" s="29" t="s">
        <v>364</v>
      </c>
      <c r="C35" s="31" t="s">
        <v>365</v>
      </c>
    </row>
    <row r="36" spans="2:3" ht="27" customHeight="1" x14ac:dyDescent="0.35">
      <c r="B36" s="32" t="s">
        <v>366</v>
      </c>
      <c r="C36" s="24" t="s">
        <v>367</v>
      </c>
    </row>
    <row r="37" spans="2:3" x14ac:dyDescent="0.35">
      <c r="B37" s="29" t="s">
        <v>368</v>
      </c>
      <c r="C37" s="33" t="s">
        <v>369</v>
      </c>
    </row>
    <row r="38" spans="2:3" ht="10" customHeight="1" x14ac:dyDescent="0.35"/>
    <row r="39" spans="2:3" ht="246.5" x14ac:dyDescent="0.35">
      <c r="B39" s="29" t="s">
        <v>370</v>
      </c>
      <c r="C39" s="34" t="s">
        <v>371</v>
      </c>
    </row>
    <row r="40" spans="2:3" ht="10" customHeight="1" x14ac:dyDescent="0.35"/>
    <row r="41" spans="2:3" ht="20" customHeight="1" x14ac:dyDescent="0.35">
      <c r="B41" s="29" t="s">
        <v>372</v>
      </c>
      <c r="C41" s="35" t="s">
        <v>17</v>
      </c>
    </row>
    <row r="42" spans="2:3" ht="29" x14ac:dyDescent="0.35">
      <c r="C42" s="21" t="s">
        <v>373</v>
      </c>
    </row>
    <row r="43" spans="2:3" ht="10" customHeight="1" x14ac:dyDescent="0.35"/>
    <row r="44" spans="2:3" ht="20" customHeight="1" x14ac:dyDescent="0.35">
      <c r="C44" s="35" t="s">
        <v>162</v>
      </c>
    </row>
    <row r="45" spans="2:3" ht="29" x14ac:dyDescent="0.35">
      <c r="C45" s="21" t="s">
        <v>374</v>
      </c>
    </row>
    <row r="46" spans="2:3" ht="10" customHeight="1" x14ac:dyDescent="0.35"/>
    <row r="47" spans="2:3" ht="20" customHeight="1" x14ac:dyDescent="0.35">
      <c r="C47" s="35" t="s">
        <v>183</v>
      </c>
    </row>
    <row r="48" spans="2:3" ht="29" x14ac:dyDescent="0.35">
      <c r="C48" s="21" t="s">
        <v>375</v>
      </c>
    </row>
    <row r="49" spans="2:3" ht="10" customHeight="1" x14ac:dyDescent="0.35"/>
    <row r="50" spans="2:3" ht="20" customHeight="1" x14ac:dyDescent="0.35">
      <c r="C50" s="35" t="s">
        <v>262</v>
      </c>
    </row>
    <row r="51" spans="2:3" ht="29" x14ac:dyDescent="0.35">
      <c r="C51" s="21" t="s">
        <v>376</v>
      </c>
    </row>
    <row r="52" spans="2:3" ht="10" customHeight="1" x14ac:dyDescent="0.35"/>
    <row r="53" spans="2:3" ht="20" customHeight="1" x14ac:dyDescent="0.35">
      <c r="C53" s="35" t="s">
        <v>287</v>
      </c>
    </row>
    <row r="54" spans="2:3" ht="29" x14ac:dyDescent="0.35">
      <c r="C54" s="21" t="s">
        <v>377</v>
      </c>
    </row>
    <row r="55" spans="2:3" ht="10" customHeight="1" x14ac:dyDescent="0.35"/>
    <row r="56" spans="2:3" ht="20" customHeight="1" x14ac:dyDescent="0.35">
      <c r="C56" s="35" t="s">
        <v>305</v>
      </c>
    </row>
    <row r="57" spans="2:3" ht="29" x14ac:dyDescent="0.35">
      <c r="C57" s="21" t="s">
        <v>378</v>
      </c>
    </row>
    <row r="58" spans="2:3" ht="10" customHeight="1" x14ac:dyDescent="0.35"/>
    <row r="59" spans="2:3" ht="43.5" x14ac:dyDescent="0.35">
      <c r="B59" s="29" t="s">
        <v>379</v>
      </c>
      <c r="C59" s="21" t="s">
        <v>380</v>
      </c>
    </row>
    <row r="60" spans="2:3" ht="10" customHeight="1" x14ac:dyDescent="0.35"/>
    <row r="61" spans="2:3" ht="15.5" x14ac:dyDescent="0.35">
      <c r="C61" s="36" t="s">
        <v>27</v>
      </c>
    </row>
    <row r="62" spans="2:3" ht="29" x14ac:dyDescent="0.35">
      <c r="C62" s="21" t="s">
        <v>381</v>
      </c>
    </row>
    <row r="63" spans="2:3" ht="10" customHeight="1" x14ac:dyDescent="0.35"/>
    <row r="64" spans="2:3" ht="15.5" x14ac:dyDescent="0.35">
      <c r="C64" s="37" t="s">
        <v>16</v>
      </c>
    </row>
    <row r="65" spans="2:3" ht="29" x14ac:dyDescent="0.35">
      <c r="C65" s="21" t="s">
        <v>382</v>
      </c>
    </row>
    <row r="66" spans="2:3" ht="10" customHeight="1" x14ac:dyDescent="0.35"/>
    <row r="67" spans="2:3" ht="15.5" x14ac:dyDescent="0.35">
      <c r="C67" s="38" t="s">
        <v>116</v>
      </c>
    </row>
    <row r="68" spans="2:3" ht="29" x14ac:dyDescent="0.35">
      <c r="C68" s="21" t="s">
        <v>383</v>
      </c>
    </row>
    <row r="69" spans="2:3" ht="10" customHeight="1" x14ac:dyDescent="0.35"/>
    <row r="70" spans="2:3" ht="3" customHeight="1" x14ac:dyDescent="0.35">
      <c r="B70" s="23"/>
      <c r="C70" s="23"/>
    </row>
    <row r="71" spans="2:3" ht="12" customHeight="1" x14ac:dyDescent="0.35"/>
    <row r="72" spans="2:3" ht="130.5" x14ac:dyDescent="0.35">
      <c r="B72" s="20" t="s">
        <v>384</v>
      </c>
      <c r="C72" s="21" t="s">
        <v>385</v>
      </c>
    </row>
    <row r="73" spans="2:3" ht="6" customHeight="1" x14ac:dyDescent="0.35"/>
    <row r="74" spans="2:3" ht="217.5" x14ac:dyDescent="0.35">
      <c r="C74" s="21" t="s">
        <v>386</v>
      </c>
    </row>
    <row r="75" spans="2:3" ht="6" customHeight="1" x14ac:dyDescent="0.35"/>
    <row r="76" spans="2:3" ht="43.5" x14ac:dyDescent="0.35">
      <c r="C76" s="21" t="s">
        <v>387</v>
      </c>
    </row>
    <row r="77" spans="2:3" ht="10" customHeight="1" x14ac:dyDescent="0.35"/>
    <row r="78" spans="2:3" ht="3" customHeight="1" x14ac:dyDescent="0.35">
      <c r="B78" s="23"/>
      <c r="C78" s="23"/>
    </row>
    <row r="79" spans="2:3" ht="12" customHeight="1" x14ac:dyDescent="0.35"/>
    <row r="80" spans="2:3" ht="145" x14ac:dyDescent="0.35">
      <c r="B80" s="20" t="s">
        <v>388</v>
      </c>
      <c r="C80" s="21" t="s">
        <v>389</v>
      </c>
    </row>
    <row r="81" spans="2:3" ht="6" customHeight="1" x14ac:dyDescent="0.35"/>
    <row r="82" spans="2:3" ht="203" x14ac:dyDescent="0.35">
      <c r="C82" s="21" t="s">
        <v>390</v>
      </c>
    </row>
    <row r="83" spans="2:3" ht="6" customHeight="1" x14ac:dyDescent="0.35"/>
    <row r="84" spans="2:3" ht="43.5" x14ac:dyDescent="0.35">
      <c r="C84" s="21" t="s">
        <v>391</v>
      </c>
    </row>
    <row r="85" spans="2:3" ht="10" customHeight="1" x14ac:dyDescent="0.35"/>
    <row r="86" spans="2:3" ht="3" customHeight="1" x14ac:dyDescent="0.35">
      <c r="B86" s="23"/>
      <c r="C86" s="23"/>
    </row>
    <row r="87" spans="2:3" ht="12" customHeight="1" x14ac:dyDescent="0.35"/>
    <row r="88" spans="2:3" ht="101.5" x14ac:dyDescent="0.35">
      <c r="B88" s="20" t="s">
        <v>392</v>
      </c>
      <c r="C88" s="21" t="s">
        <v>393</v>
      </c>
    </row>
    <row r="89" spans="2:3" ht="6" customHeight="1" x14ac:dyDescent="0.35"/>
    <row r="90" spans="2:3" ht="145" x14ac:dyDescent="0.35">
      <c r="C90" s="21" t="s">
        <v>394</v>
      </c>
    </row>
    <row r="91" spans="2:3" ht="6" customHeight="1" x14ac:dyDescent="0.35"/>
    <row r="92" spans="2:3" ht="43.5" x14ac:dyDescent="0.35">
      <c r="C92" s="21" t="s">
        <v>395</v>
      </c>
    </row>
    <row r="93" spans="2:3" ht="10" customHeight="1" x14ac:dyDescent="0.35"/>
    <row r="94" spans="2:3" ht="3" customHeight="1" x14ac:dyDescent="0.35">
      <c r="B94" s="23"/>
      <c r="C94" s="23"/>
    </row>
    <row r="95" spans="2:3" ht="12" customHeight="1" x14ac:dyDescent="0.35"/>
    <row r="96" spans="2:3" ht="26" customHeight="1" x14ac:dyDescent="0.35">
      <c r="B96" s="39" t="s">
        <v>396</v>
      </c>
    </row>
    <row r="97" spans="2:3" ht="8" customHeight="1" x14ac:dyDescent="0.35"/>
    <row r="98" spans="2:3" ht="20" customHeight="1" x14ac:dyDescent="0.35">
      <c r="B98" s="29" t="s">
        <v>397</v>
      </c>
      <c r="C98" s="40" t="s">
        <v>398</v>
      </c>
    </row>
    <row r="99" spans="2:3" ht="116" x14ac:dyDescent="0.35">
      <c r="C99" s="21" t="s">
        <v>399</v>
      </c>
    </row>
    <row r="100" spans="2:3" ht="10" customHeight="1" x14ac:dyDescent="0.35"/>
    <row r="101" spans="2:3" ht="20" customHeight="1" x14ac:dyDescent="0.35">
      <c r="B101" s="29" t="s">
        <v>400</v>
      </c>
      <c r="C101" s="40" t="s">
        <v>401</v>
      </c>
    </row>
    <row r="102" spans="2:3" ht="116" x14ac:dyDescent="0.35">
      <c r="C102" s="21" t="s">
        <v>402</v>
      </c>
    </row>
    <row r="103" spans="2:3" ht="10" customHeight="1" x14ac:dyDescent="0.35"/>
    <row r="104" spans="2:3" ht="20" customHeight="1" x14ac:dyDescent="0.35">
      <c r="B104" s="29" t="s">
        <v>403</v>
      </c>
      <c r="C104" s="40" t="s">
        <v>404</v>
      </c>
    </row>
    <row r="105" spans="2:3" ht="130.5" x14ac:dyDescent="0.35">
      <c r="C105" s="21" t="s">
        <v>405</v>
      </c>
    </row>
    <row r="106" spans="2:3" ht="10" customHeight="1" x14ac:dyDescent="0.35"/>
    <row r="107" spans="2:3" ht="20" customHeight="1" x14ac:dyDescent="0.35">
      <c r="B107" s="29" t="s">
        <v>406</v>
      </c>
      <c r="C107" s="40" t="s">
        <v>407</v>
      </c>
    </row>
    <row r="108" spans="2:3" ht="130.5" x14ac:dyDescent="0.35">
      <c r="C108" s="21" t="s">
        <v>408</v>
      </c>
    </row>
    <row r="109" spans="2:3" ht="10" customHeight="1" x14ac:dyDescent="0.35"/>
    <row r="110" spans="2:3" ht="20" customHeight="1" x14ac:dyDescent="0.35">
      <c r="B110" s="29" t="s">
        <v>409</v>
      </c>
      <c r="C110" s="40" t="s">
        <v>410</v>
      </c>
    </row>
    <row r="111" spans="2:3" ht="116" x14ac:dyDescent="0.35">
      <c r="C111" s="21" t="s">
        <v>411</v>
      </c>
    </row>
    <row r="112" spans="2:3" ht="10" customHeight="1" x14ac:dyDescent="0.35"/>
    <row r="113" spans="2:3" ht="20" customHeight="1" x14ac:dyDescent="0.35">
      <c r="B113" s="29" t="s">
        <v>412</v>
      </c>
      <c r="C113" s="40" t="s">
        <v>413</v>
      </c>
    </row>
    <row r="114" spans="2:3" ht="116" x14ac:dyDescent="0.35">
      <c r="C114" s="21" t="s">
        <v>414</v>
      </c>
    </row>
    <row r="115" spans="2:3" ht="10" customHeight="1" x14ac:dyDescent="0.35"/>
    <row r="116" spans="2:3" ht="20" customHeight="1" x14ac:dyDescent="0.35">
      <c r="B116" s="29" t="s">
        <v>415</v>
      </c>
      <c r="C116" s="40" t="s">
        <v>416</v>
      </c>
    </row>
    <row r="117" spans="2:3" ht="130.5" x14ac:dyDescent="0.35">
      <c r="C117" s="21" t="s">
        <v>417</v>
      </c>
    </row>
    <row r="118" spans="2:3" ht="10" customHeight="1" x14ac:dyDescent="0.35"/>
    <row r="119" spans="2:3" ht="20" customHeight="1" x14ac:dyDescent="0.35">
      <c r="B119" s="29" t="s">
        <v>418</v>
      </c>
      <c r="C119" s="40" t="s">
        <v>419</v>
      </c>
    </row>
    <row r="120" spans="2:3" ht="203" x14ac:dyDescent="0.35">
      <c r="C120" s="21" t="s">
        <v>420</v>
      </c>
    </row>
    <row r="121" spans="2:3" ht="10" customHeight="1" x14ac:dyDescent="0.35"/>
    <row r="124" spans="2:3" ht="32" customHeight="1" x14ac:dyDescent="0.35">
      <c r="B124" s="291" t="s">
        <v>334</v>
      </c>
      <c r="C124" s="291"/>
    </row>
  </sheetData>
  <sheetProtection password="90EA" sheet="1"/>
  <mergeCells count="1">
    <mergeCell ref="B124:C124"/>
  </mergeCells>
  <hyperlinks>
    <hyperlink ref="C5" r:id="rId1" xr:uid="{00000000-0004-0000-0000-000000000000}"/>
    <hyperlink ref="C6" r:id="rId2" xr:uid="{00000000-0004-0000-0000-000001000000}"/>
    <hyperlink ref="C37" r:id="rId3" xr:uid="{00000000-0004-0000-0000-000002000000}"/>
    <hyperlink ref="B124"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3104</v>
      </c>
      <c r="B1" s="233" t="s">
        <v>0</v>
      </c>
      <c r="C1" s="233" t="s">
        <v>581</v>
      </c>
      <c r="D1" s="233" t="s">
        <v>582</v>
      </c>
      <c r="E1" s="233" t="s">
        <v>587</v>
      </c>
      <c r="F1" s="233" t="s">
        <v>588</v>
      </c>
      <c r="G1" s="233" t="s">
        <v>589</v>
      </c>
      <c r="H1" s="233" t="s">
        <v>590</v>
      </c>
      <c r="I1" s="233" t="s">
        <v>591</v>
      </c>
      <c r="J1" s="233" t="s">
        <v>592</v>
      </c>
      <c r="K1" s="233" t="s">
        <v>593</v>
      </c>
      <c r="L1" s="233" t="s">
        <v>594</v>
      </c>
      <c r="M1" s="233" t="s">
        <v>595</v>
      </c>
      <c r="N1" s="233" t="s">
        <v>596</v>
      </c>
      <c r="O1" s="233" t="s">
        <v>597</v>
      </c>
      <c r="P1" s="233" t="s">
        <v>598</v>
      </c>
      <c r="Q1" s="233" t="s">
        <v>599</v>
      </c>
      <c r="R1" s="233" t="s">
        <v>600</v>
      </c>
      <c r="S1" s="233" t="s">
        <v>601</v>
      </c>
      <c r="T1" s="233" t="s">
        <v>602</v>
      </c>
      <c r="U1" s="233" t="s">
        <v>603</v>
      </c>
      <c r="V1" s="233" t="s">
        <v>604</v>
      </c>
      <c r="W1" s="233" t="s">
        <v>605</v>
      </c>
      <c r="X1" s="233" t="s">
        <v>606</v>
      </c>
      <c r="Y1" s="233" t="s">
        <v>607</v>
      </c>
      <c r="Z1" s="233" t="s">
        <v>608</v>
      </c>
      <c r="AA1" s="233" t="s">
        <v>609</v>
      </c>
      <c r="AB1" s="233" t="s">
        <v>610</v>
      </c>
      <c r="AC1" s="233" t="s">
        <v>611</v>
      </c>
      <c r="AD1" s="233" t="s">
        <v>612</v>
      </c>
      <c r="AE1" s="233" t="s">
        <v>613</v>
      </c>
      <c r="AF1" s="233" t="s">
        <v>614</v>
      </c>
      <c r="AG1" s="233" t="s">
        <v>615</v>
      </c>
      <c r="AH1" s="233" t="s">
        <v>616</v>
      </c>
      <c r="AI1" s="233" t="s">
        <v>617</v>
      </c>
      <c r="AJ1" s="233" t="s">
        <v>618</v>
      </c>
      <c r="AK1" s="233" t="s">
        <v>619</v>
      </c>
      <c r="AL1" s="233" t="s">
        <v>620</v>
      </c>
      <c r="AM1" s="233" t="s">
        <v>621</v>
      </c>
      <c r="AN1" s="233" t="s">
        <v>622</v>
      </c>
      <c r="AO1" s="233" t="s">
        <v>623</v>
      </c>
      <c r="AP1" s="233" t="s">
        <v>624</v>
      </c>
      <c r="AQ1" s="233" t="s">
        <v>625</v>
      </c>
      <c r="AR1" s="233" t="s">
        <v>626</v>
      </c>
      <c r="AS1" s="234" t="s">
        <v>627</v>
      </c>
    </row>
    <row r="2" spans="1:45" ht="60" customHeight="1" outlineLevel="1" x14ac:dyDescent="0.35">
      <c r="A2" s="226" t="s">
        <v>3105</v>
      </c>
      <c r="B2" s="213" t="s">
        <v>3106</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3105</v>
      </c>
      <c r="B3" s="214" t="s">
        <v>3107</v>
      </c>
      <c r="C3" s="215" t="s">
        <v>3108</v>
      </c>
      <c r="D3" s="217" t="s">
        <v>3109</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3105</v>
      </c>
      <c r="B4" s="214" t="s">
        <v>3110</v>
      </c>
      <c r="C4" s="215" t="s">
        <v>3111</v>
      </c>
      <c r="D4" s="217" t="s">
        <v>3112</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3105</v>
      </c>
      <c r="B5" s="214" t="s">
        <v>3113</v>
      </c>
      <c r="C5" s="215" t="s">
        <v>3114</v>
      </c>
      <c r="D5" s="217" t="s">
        <v>3115</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3105</v>
      </c>
      <c r="B6" s="214" t="s">
        <v>3116</v>
      </c>
      <c r="C6" s="215" t="s">
        <v>3117</v>
      </c>
      <c r="D6" s="217" t="s">
        <v>3118</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3105</v>
      </c>
      <c r="B7" s="214" t="s">
        <v>3119</v>
      </c>
      <c r="C7" s="215" t="s">
        <v>3120</v>
      </c>
      <c r="D7" s="217" t="s">
        <v>3121</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3105</v>
      </c>
      <c r="B8" s="214" t="s">
        <v>3122</v>
      </c>
      <c r="C8" s="215" t="s">
        <v>3123</v>
      </c>
      <c r="D8" s="217" t="s">
        <v>3124</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3105</v>
      </c>
      <c r="B9" s="214" t="s">
        <v>3125</v>
      </c>
      <c r="C9" s="215" t="s">
        <v>3126</v>
      </c>
      <c r="D9" s="217" t="s">
        <v>3127</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3105</v>
      </c>
      <c r="B10" s="214" t="s">
        <v>3128</v>
      </c>
      <c r="C10" s="215" t="s">
        <v>3129</v>
      </c>
      <c r="D10" s="217" t="s">
        <v>3130</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3105</v>
      </c>
      <c r="B11" s="214" t="s">
        <v>3131</v>
      </c>
      <c r="C11" s="215" t="s">
        <v>3132</v>
      </c>
      <c r="D11" s="217" t="s">
        <v>3133</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3105</v>
      </c>
      <c r="B12" s="214" t="s">
        <v>3134</v>
      </c>
      <c r="C12" s="215" t="s">
        <v>3135</v>
      </c>
      <c r="D12" s="217" t="s">
        <v>3136</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3105</v>
      </c>
      <c r="B13" s="214" t="s">
        <v>3137</v>
      </c>
      <c r="C13" s="215" t="s">
        <v>3138</v>
      </c>
      <c r="D13" s="217" t="s">
        <v>3139</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3105</v>
      </c>
      <c r="B14" s="214" t="s">
        <v>3140</v>
      </c>
      <c r="C14" s="215" t="s">
        <v>3141</v>
      </c>
      <c r="D14" s="217" t="s">
        <v>3142</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3105</v>
      </c>
      <c r="B15" s="214" t="s">
        <v>3143</v>
      </c>
      <c r="C15" s="215" t="s">
        <v>3144</v>
      </c>
      <c r="D15" s="217" t="s">
        <v>3145</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3105</v>
      </c>
      <c r="B16" s="214" t="s">
        <v>3146</v>
      </c>
      <c r="C16" s="215" t="s">
        <v>3147</v>
      </c>
      <c r="D16" s="217" t="s">
        <v>3148</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3105</v>
      </c>
      <c r="B17" s="214" t="s">
        <v>3149</v>
      </c>
      <c r="C17" s="215" t="s">
        <v>3150</v>
      </c>
      <c r="D17" s="217" t="s">
        <v>3151</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3105</v>
      </c>
      <c r="B18" s="214" t="s">
        <v>3152</v>
      </c>
      <c r="C18" s="215" t="s">
        <v>3153</v>
      </c>
      <c r="D18" s="217" t="s">
        <v>3154</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3105</v>
      </c>
      <c r="B19" s="214" t="s">
        <v>3155</v>
      </c>
      <c r="C19" s="215" t="s">
        <v>3156</v>
      </c>
      <c r="D19" s="217" t="s">
        <v>3157</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3105</v>
      </c>
      <c r="B20" s="214" t="s">
        <v>3158</v>
      </c>
      <c r="C20" s="215" t="s">
        <v>3159</v>
      </c>
      <c r="D20" s="217" t="s">
        <v>3160</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3105</v>
      </c>
      <c r="B21" s="214" t="s">
        <v>3161</v>
      </c>
      <c r="C21" s="215" t="s">
        <v>3162</v>
      </c>
      <c r="D21" s="217" t="s">
        <v>3163</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3105</v>
      </c>
      <c r="B22" s="214" t="s">
        <v>3164</v>
      </c>
      <c r="C22" s="215" t="s">
        <v>3165</v>
      </c>
      <c r="D22" s="217" t="s">
        <v>3166</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3105</v>
      </c>
      <c r="B23" s="214" t="s">
        <v>3167</v>
      </c>
      <c r="C23" s="215" t="s">
        <v>3168</v>
      </c>
      <c r="D23" s="217" t="s">
        <v>3169</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3105</v>
      </c>
      <c r="B24" s="214" t="s">
        <v>3170</v>
      </c>
      <c r="C24" s="215" t="s">
        <v>3171</v>
      </c>
      <c r="D24" s="217" t="s">
        <v>3172</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3105</v>
      </c>
      <c r="B25" s="214" t="s">
        <v>3173</v>
      </c>
      <c r="C25" s="215" t="s">
        <v>3174</v>
      </c>
      <c r="D25" s="217" t="s">
        <v>3175</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3105</v>
      </c>
      <c r="B26" s="214" t="s">
        <v>3176</v>
      </c>
      <c r="C26" s="215" t="s">
        <v>3177</v>
      </c>
      <c r="D26" s="217" t="s">
        <v>3178</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3105</v>
      </c>
      <c r="B27" s="214" t="s">
        <v>3179</v>
      </c>
      <c r="C27" s="215" t="s">
        <v>3180</v>
      </c>
      <c r="D27" s="217" t="s">
        <v>3181</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3105</v>
      </c>
      <c r="B28" s="214" t="s">
        <v>3182</v>
      </c>
      <c r="C28" s="215" t="s">
        <v>3183</v>
      </c>
      <c r="D28" s="217" t="s">
        <v>3184</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3105</v>
      </c>
      <c r="B29" s="214" t="s">
        <v>3185</v>
      </c>
      <c r="C29" s="215" t="s">
        <v>3186</v>
      </c>
      <c r="D29" s="217" t="s">
        <v>3187</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3105</v>
      </c>
      <c r="B30" s="214" t="s">
        <v>3188</v>
      </c>
      <c r="C30" s="215" t="s">
        <v>3189</v>
      </c>
      <c r="D30" s="217" t="s">
        <v>3190</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3105</v>
      </c>
      <c r="B31" s="214" t="s">
        <v>3191</v>
      </c>
      <c r="C31" s="215" t="s">
        <v>3192</v>
      </c>
      <c r="D31" s="217" t="s">
        <v>3193</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3105</v>
      </c>
      <c r="B32" s="214" t="s">
        <v>3194</v>
      </c>
      <c r="C32" s="215" t="s">
        <v>3195</v>
      </c>
      <c r="D32" s="217" t="s">
        <v>3196</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3105</v>
      </c>
      <c r="B33" s="214" t="s">
        <v>3197</v>
      </c>
      <c r="C33" s="215" t="s">
        <v>3198</v>
      </c>
      <c r="D33" s="217" t="s">
        <v>3199</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3105</v>
      </c>
      <c r="B34" s="214" t="s">
        <v>3200</v>
      </c>
      <c r="C34" s="215" t="s">
        <v>3201</v>
      </c>
      <c r="D34" s="217" t="s">
        <v>3202</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3105</v>
      </c>
      <c r="B35" s="214" t="s">
        <v>3203</v>
      </c>
      <c r="C35" s="215" t="s">
        <v>3204</v>
      </c>
      <c r="D35" s="217" t="s">
        <v>3205</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3105</v>
      </c>
      <c r="B36" s="214" t="s">
        <v>3206</v>
      </c>
      <c r="C36" s="215" t="s">
        <v>3207</v>
      </c>
      <c r="D36" s="217" t="s">
        <v>3208</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3105</v>
      </c>
      <c r="B37" s="214" t="s">
        <v>3209</v>
      </c>
      <c r="C37" s="215" t="s">
        <v>3210</v>
      </c>
      <c r="D37" s="217" t="s">
        <v>3211</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3105</v>
      </c>
      <c r="B38" s="214" t="s">
        <v>3212</v>
      </c>
      <c r="C38" s="215" t="s">
        <v>3213</v>
      </c>
      <c r="D38" s="217" t="s">
        <v>3214</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3105</v>
      </c>
      <c r="B39" s="214" t="s">
        <v>3215</v>
      </c>
      <c r="C39" s="215" t="s">
        <v>3216</v>
      </c>
      <c r="D39" s="217" t="s">
        <v>3217</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3218</v>
      </c>
      <c r="B40" s="213" t="s">
        <v>3219</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3218</v>
      </c>
      <c r="B41" s="214" t="s">
        <v>3220</v>
      </c>
      <c r="C41" s="215" t="s">
        <v>3221</v>
      </c>
      <c r="D41" s="217" t="s">
        <v>3222</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3218</v>
      </c>
      <c r="B42" s="214" t="s">
        <v>3223</v>
      </c>
      <c r="C42" s="215" t="s">
        <v>3224</v>
      </c>
      <c r="D42" s="217" t="s">
        <v>3225</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3218</v>
      </c>
      <c r="B43" s="214" t="s">
        <v>3226</v>
      </c>
      <c r="C43" s="215" t="s">
        <v>3227</v>
      </c>
      <c r="D43" s="217" t="s">
        <v>3228</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3218</v>
      </c>
      <c r="B44" s="214" t="s">
        <v>3229</v>
      </c>
      <c r="C44" s="215" t="s">
        <v>3230</v>
      </c>
      <c r="D44" s="217" t="s">
        <v>3231</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3218</v>
      </c>
      <c r="B45" s="214" t="s">
        <v>3232</v>
      </c>
      <c r="C45" s="215" t="s">
        <v>3233</v>
      </c>
      <c r="D45" s="217" t="s">
        <v>3234</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3218</v>
      </c>
      <c r="B46" s="214" t="s">
        <v>3235</v>
      </c>
      <c r="C46" s="215" t="s">
        <v>3236</v>
      </c>
      <c r="D46" s="217" t="s">
        <v>3237</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3218</v>
      </c>
      <c r="B47" s="214" t="s">
        <v>3238</v>
      </c>
      <c r="C47" s="215" t="s">
        <v>3239</v>
      </c>
      <c r="D47" s="217" t="s">
        <v>3240</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3218</v>
      </c>
      <c r="B48" s="214" t="s">
        <v>3241</v>
      </c>
      <c r="C48" s="215" t="s">
        <v>3242</v>
      </c>
      <c r="D48" s="217" t="s">
        <v>3243</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3244</v>
      </c>
      <c r="B49" s="213" t="s">
        <v>3245</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3244</v>
      </c>
      <c r="B50" s="214" t="s">
        <v>3246</v>
      </c>
      <c r="C50" s="215" t="s">
        <v>3247</v>
      </c>
      <c r="D50" s="217" t="s">
        <v>3248</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3244</v>
      </c>
      <c r="B51" s="214" t="s">
        <v>3249</v>
      </c>
      <c r="C51" s="215" t="s">
        <v>3250</v>
      </c>
      <c r="D51" s="217" t="s">
        <v>3251</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3244</v>
      </c>
      <c r="B52" s="214" t="s">
        <v>3252</v>
      </c>
      <c r="C52" s="215" t="s">
        <v>3253</v>
      </c>
      <c r="D52" s="217" t="s">
        <v>3254</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3244</v>
      </c>
      <c r="B53" s="214" t="s">
        <v>3255</v>
      </c>
      <c r="C53" s="215" t="s">
        <v>3256</v>
      </c>
      <c r="D53" s="217" t="s">
        <v>3257</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3244</v>
      </c>
      <c r="B54" s="214" t="s">
        <v>3258</v>
      </c>
      <c r="C54" s="215" t="s">
        <v>3259</v>
      </c>
      <c r="D54" s="217" t="s">
        <v>3260</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3244</v>
      </c>
      <c r="B55" s="214" t="s">
        <v>3261</v>
      </c>
      <c r="C55" s="215" t="s">
        <v>3262</v>
      </c>
      <c r="D55" s="217" t="s">
        <v>3263</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3244</v>
      </c>
      <c r="B56" s="214" t="s">
        <v>3264</v>
      </c>
      <c r="C56" s="215" t="s">
        <v>3265</v>
      </c>
      <c r="D56" s="217" t="s">
        <v>3266</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3244</v>
      </c>
      <c r="B57" s="214" t="s">
        <v>3267</v>
      </c>
      <c r="C57" s="215" t="s">
        <v>3268</v>
      </c>
      <c r="D57" s="217" t="s">
        <v>3269</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3244</v>
      </c>
      <c r="B58" s="214" t="s">
        <v>3270</v>
      </c>
      <c r="C58" s="215" t="s">
        <v>3271</v>
      </c>
      <c r="D58" s="217" t="s">
        <v>3272</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3244</v>
      </c>
      <c r="B59" s="214" t="s">
        <v>3273</v>
      </c>
      <c r="C59" s="215" t="s">
        <v>3274</v>
      </c>
      <c r="D59" s="217" t="s">
        <v>3275</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3244</v>
      </c>
      <c r="B60" s="214" t="s">
        <v>3276</v>
      </c>
      <c r="C60" s="215" t="s">
        <v>3277</v>
      </c>
      <c r="D60" s="217" t="s">
        <v>3278</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3244</v>
      </c>
      <c r="B61" s="214" t="s">
        <v>3279</v>
      </c>
      <c r="C61" s="215" t="s">
        <v>3280</v>
      </c>
      <c r="D61" s="217" t="s">
        <v>3281</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3244</v>
      </c>
      <c r="B62" s="214" t="s">
        <v>3282</v>
      </c>
      <c r="C62" s="215" t="s">
        <v>3283</v>
      </c>
      <c r="D62" s="217" t="s">
        <v>3284</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3244</v>
      </c>
      <c r="B63" s="214" t="s">
        <v>3285</v>
      </c>
      <c r="C63" s="215" t="s">
        <v>3286</v>
      </c>
      <c r="D63" s="217" t="s">
        <v>3287</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3288</v>
      </c>
      <c r="B64" s="213" t="s">
        <v>3289</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3288</v>
      </c>
      <c r="B65" s="214" t="s">
        <v>3290</v>
      </c>
      <c r="C65" s="215" t="s">
        <v>3291</v>
      </c>
      <c r="D65" s="217" t="s">
        <v>3292</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3288</v>
      </c>
      <c r="B66" s="214" t="s">
        <v>3293</v>
      </c>
      <c r="C66" s="215" t="s">
        <v>3294</v>
      </c>
      <c r="D66" s="217" t="s">
        <v>3295</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3288</v>
      </c>
      <c r="B67" s="214" t="s">
        <v>3296</v>
      </c>
      <c r="C67" s="215" t="s">
        <v>3297</v>
      </c>
      <c r="D67" s="217" t="s">
        <v>3298</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3288</v>
      </c>
      <c r="B68" s="214" t="s">
        <v>3299</v>
      </c>
      <c r="C68" s="215" t="s">
        <v>3300</v>
      </c>
      <c r="D68" s="217" t="s">
        <v>3301</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3288</v>
      </c>
      <c r="B69" s="214" t="s">
        <v>3302</v>
      </c>
      <c r="C69" s="215" t="s">
        <v>3303</v>
      </c>
      <c r="D69" s="217" t="s">
        <v>3304</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3288</v>
      </c>
      <c r="B70" s="214" t="s">
        <v>3305</v>
      </c>
      <c r="C70" s="215" t="s">
        <v>3306</v>
      </c>
      <c r="D70" s="217" t="s">
        <v>3307</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3288</v>
      </c>
      <c r="B71" s="214" t="s">
        <v>3308</v>
      </c>
      <c r="C71" s="215" t="s">
        <v>3309</v>
      </c>
      <c r="D71" s="217" t="s">
        <v>3310</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3288</v>
      </c>
      <c r="B72" s="214" t="s">
        <v>3311</v>
      </c>
      <c r="C72" s="215" t="s">
        <v>3312</v>
      </c>
      <c r="D72" s="217" t="s">
        <v>3313</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3288</v>
      </c>
      <c r="B73" s="214" t="s">
        <v>3314</v>
      </c>
      <c r="C73" s="215" t="s">
        <v>3315</v>
      </c>
      <c r="D73" s="217" t="s">
        <v>3316</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3288</v>
      </c>
      <c r="B74" s="214" t="s">
        <v>3317</v>
      </c>
      <c r="C74" s="215" t="s">
        <v>3318</v>
      </c>
      <c r="D74" s="217" t="s">
        <v>3319</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3288</v>
      </c>
      <c r="B75" s="214" t="s">
        <v>3320</v>
      </c>
      <c r="C75" s="215" t="s">
        <v>3321</v>
      </c>
      <c r="D75" s="217" t="s">
        <v>3322</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3288</v>
      </c>
      <c r="B76" s="214" t="s">
        <v>3323</v>
      </c>
      <c r="C76" s="215" t="s">
        <v>3324</v>
      </c>
      <c r="D76" s="217" t="s">
        <v>3325</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3288</v>
      </c>
      <c r="B77" s="214" t="s">
        <v>3326</v>
      </c>
      <c r="C77" s="215" t="s">
        <v>3327</v>
      </c>
      <c r="D77" s="217" t="s">
        <v>3328</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3288</v>
      </c>
      <c r="B78" s="214" t="s">
        <v>3329</v>
      </c>
      <c r="C78" s="215" t="s">
        <v>3330</v>
      </c>
      <c r="D78" s="217" t="s">
        <v>3331</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3288</v>
      </c>
      <c r="B79" s="214" t="s">
        <v>3332</v>
      </c>
      <c r="C79" s="215" t="s">
        <v>3333</v>
      </c>
      <c r="D79" s="217" t="s">
        <v>3334</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3288</v>
      </c>
      <c r="B80" s="214" t="s">
        <v>3335</v>
      </c>
      <c r="C80" s="215" t="s">
        <v>3336</v>
      </c>
      <c r="D80" s="217" t="s">
        <v>3337</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3288</v>
      </c>
      <c r="B81" s="214" t="s">
        <v>3338</v>
      </c>
      <c r="C81" s="215" t="s">
        <v>3339</v>
      </c>
      <c r="D81" s="217" t="s">
        <v>3340</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3288</v>
      </c>
      <c r="B82" s="214" t="s">
        <v>3341</v>
      </c>
      <c r="C82" s="215" t="s">
        <v>3342</v>
      </c>
      <c r="D82" s="217" t="s">
        <v>3343</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3288</v>
      </c>
      <c r="B83" s="214" t="s">
        <v>3344</v>
      </c>
      <c r="C83" s="215" t="s">
        <v>3345</v>
      </c>
      <c r="D83" s="217" t="s">
        <v>3346</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3288</v>
      </c>
      <c r="B84" s="214" t="s">
        <v>3347</v>
      </c>
      <c r="C84" s="215" t="s">
        <v>3348</v>
      </c>
      <c r="D84" s="217" t="s">
        <v>3349</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3288</v>
      </c>
      <c r="B85" s="214" t="s">
        <v>3350</v>
      </c>
      <c r="C85" s="215" t="s">
        <v>3351</v>
      </c>
      <c r="D85" s="217" t="s">
        <v>3352</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3288</v>
      </c>
      <c r="B86" s="214" t="s">
        <v>3353</v>
      </c>
      <c r="C86" s="215" t="s">
        <v>3354</v>
      </c>
      <c r="D86" s="217" t="s">
        <v>3355</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3288</v>
      </c>
      <c r="B87" s="214" t="s">
        <v>3356</v>
      </c>
      <c r="C87" s="215" t="s">
        <v>3357</v>
      </c>
      <c r="D87" s="217" t="s">
        <v>3358</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3288</v>
      </c>
      <c r="B88" s="214" t="s">
        <v>3359</v>
      </c>
      <c r="C88" s="215" t="s">
        <v>3360</v>
      </c>
      <c r="D88" s="217" t="s">
        <v>3361</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3288</v>
      </c>
      <c r="B89" s="214" t="s">
        <v>3362</v>
      </c>
      <c r="C89" s="215" t="s">
        <v>3363</v>
      </c>
      <c r="D89" s="217" t="s">
        <v>3364</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3288</v>
      </c>
      <c r="B90" s="214" t="s">
        <v>3365</v>
      </c>
      <c r="C90" s="215" t="s">
        <v>3366</v>
      </c>
      <c r="D90" s="217" t="s">
        <v>3367</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3288</v>
      </c>
      <c r="B91" s="214" t="s">
        <v>3368</v>
      </c>
      <c r="C91" s="215" t="s">
        <v>3369</v>
      </c>
      <c r="D91" s="217" t="s">
        <v>3370</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3288</v>
      </c>
      <c r="B92" s="214" t="s">
        <v>3371</v>
      </c>
      <c r="C92" s="215" t="s">
        <v>3372</v>
      </c>
      <c r="D92" s="217" t="s">
        <v>3373</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3288</v>
      </c>
      <c r="B93" s="214" t="s">
        <v>3374</v>
      </c>
      <c r="C93" s="215" t="s">
        <v>3375</v>
      </c>
      <c r="D93" s="217" t="s">
        <v>3376</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3288</v>
      </c>
      <c r="B94" s="214" t="s">
        <v>3377</v>
      </c>
      <c r="C94" s="215" t="s">
        <v>3378</v>
      </c>
      <c r="D94" s="217" t="s">
        <v>3379</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3288</v>
      </c>
      <c r="B95" s="214" t="s">
        <v>3380</v>
      </c>
      <c r="C95" s="215" t="s">
        <v>3381</v>
      </c>
      <c r="D95" s="217" t="s">
        <v>3382</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3288</v>
      </c>
      <c r="B96" s="214" t="s">
        <v>3383</v>
      </c>
      <c r="C96" s="215" t="s">
        <v>3384</v>
      </c>
      <c r="D96" s="217" t="s">
        <v>3385</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3288</v>
      </c>
      <c r="B97" s="214" t="s">
        <v>3386</v>
      </c>
      <c r="C97" s="215" t="s">
        <v>3387</v>
      </c>
      <c r="D97" s="217" t="s">
        <v>3388</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3288</v>
      </c>
      <c r="B98" s="221" t="s">
        <v>3389</v>
      </c>
      <c r="C98" s="222" t="s">
        <v>3390</v>
      </c>
      <c r="D98" s="223" t="s">
        <v>3391</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334</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IFERROR(INDEX('Recommendations'!$H$2:$H$64, MATCH(F2,'Recommendations'!$A$2:$A$64,0))="Implemented", FALSE))</xm:f>
            <x14:dxf>
              <font>
                <color rgb="FF000000"/>
              </font>
              <fill>
                <patternFill>
                  <bgColor rgb="FF3C7D22"/>
                </patternFill>
              </fill>
            </x14:dxf>
          </x14:cfRule>
          <x14:cfRule type="expression" priority="2" id="{00000000-000E-0000-0900-000002000000}">
            <xm:f>AND(F2&lt;&gt;"", IFERROR(INDEX('Recommendations'!$H$2:$H$64, MATCH(F2,'Recommendations'!$A$2:$A$64,0))="Compensated", FALSE))</xm:f>
            <x14:dxf>
              <font>
                <color rgb="FF000000"/>
              </font>
              <fill>
                <patternFill>
                  <bgColor rgb="FFC6E0B4"/>
                </patternFill>
              </fill>
            </x14:dxf>
          </x14:cfRule>
          <x14:cfRule type="expression" priority="3" id="{00000000-000E-0000-0900-000003000000}">
            <xm:f>AND(F2&lt;&gt;"", IFERROR(INDEX('Recommendations'!$H$2:$H$64, MATCH(F2,'Recommendations'!$A$2:$A$64,0))="Testing", FALSE))</xm:f>
            <x14:dxf>
              <font>
                <color rgb="FF000000"/>
              </font>
              <fill>
                <patternFill>
                  <bgColor rgb="FFFFC000"/>
                </patternFill>
              </fill>
            </x14:dxf>
          </x14:cfRule>
          <x14:cfRule type="expression" priority="4" id="{00000000-000E-0000-0900-000004000000}">
            <xm:f>AND(F2&lt;&gt;"", IFERROR(INDEX('Recommendations'!$H$2:$H$64, MATCH(F2,'Recommendations'!$A$2:$A$64,0))="Failed", FALSE))</xm:f>
            <x14:dxf>
              <font>
                <color rgb="FF000000"/>
              </font>
              <fill>
                <patternFill>
                  <bgColor rgb="FFD82891"/>
                </patternFill>
              </fill>
            </x14:dxf>
          </x14:cfRule>
          <x14:cfRule type="expression" priority="5" id="{00000000-000E-0000-0900-000005000000}">
            <xm:f>AND(F2&lt;&gt;"", IFERROR(INDEX('Recommendations'!$H$2:$H$64, MATCH(F2,'Recommendations'!$A$2:$A$64,0))="Risk Accepted", FALSE))</xm:f>
            <x14:dxf>
              <font>
                <color rgb="FF000000"/>
              </font>
              <fill>
                <patternFill>
                  <bgColor rgb="FFD9D9D9"/>
                </patternFill>
              </fill>
            </x14:dxf>
          </x14:cfRule>
          <x14:cfRule type="expression" priority="6" id="{00000000-000E-0000-0900-000006000000}">
            <xm:f>AND(F2&lt;&gt;"", IFERROR(INDEX('Recommendations'!$H$2:$H$64, MATCH(F2,'Recommendations'!$A$2:$A$64,0))="N/A",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3392</v>
      </c>
      <c r="C1" s="256" t="s">
        <v>3393</v>
      </c>
      <c r="D1" s="256" t="s">
        <v>3394</v>
      </c>
      <c r="E1" s="256" t="s">
        <v>3395</v>
      </c>
      <c r="F1" s="256" t="s">
        <v>2221</v>
      </c>
      <c r="G1" s="256" t="s">
        <v>3396</v>
      </c>
      <c r="H1" s="256" t="s">
        <v>3397</v>
      </c>
      <c r="I1" s="256" t="s">
        <v>3398</v>
      </c>
      <c r="J1" s="256" t="s">
        <v>11</v>
      </c>
      <c r="K1" s="256" t="s">
        <v>587</v>
      </c>
      <c r="L1" s="256" t="s">
        <v>588</v>
      </c>
      <c r="M1" s="256" t="s">
        <v>589</v>
      </c>
      <c r="N1" s="256" t="s">
        <v>590</v>
      </c>
      <c r="O1" s="256" t="s">
        <v>591</v>
      </c>
      <c r="P1" s="256" t="s">
        <v>592</v>
      </c>
      <c r="Q1" s="256" t="s">
        <v>593</v>
      </c>
      <c r="R1" s="256" t="s">
        <v>594</v>
      </c>
      <c r="S1" s="256" t="s">
        <v>595</v>
      </c>
      <c r="T1" s="256" t="s">
        <v>596</v>
      </c>
      <c r="U1" s="256" t="s">
        <v>597</v>
      </c>
      <c r="V1" s="256" t="s">
        <v>598</v>
      </c>
      <c r="W1" s="256" t="s">
        <v>599</v>
      </c>
      <c r="X1" s="256" t="s">
        <v>600</v>
      </c>
      <c r="Y1" s="256" t="s">
        <v>601</v>
      </c>
      <c r="Z1" s="256" t="s">
        <v>602</v>
      </c>
      <c r="AA1" s="256" t="s">
        <v>603</v>
      </c>
      <c r="AB1" s="256" t="s">
        <v>604</v>
      </c>
      <c r="AC1" s="256" t="s">
        <v>605</v>
      </c>
      <c r="AD1" s="256" t="s">
        <v>606</v>
      </c>
      <c r="AE1" s="256" t="s">
        <v>607</v>
      </c>
      <c r="AF1" s="256" t="s">
        <v>608</v>
      </c>
      <c r="AG1" s="256" t="s">
        <v>609</v>
      </c>
      <c r="AH1" s="256" t="s">
        <v>610</v>
      </c>
      <c r="AI1" s="256" t="s">
        <v>611</v>
      </c>
      <c r="AJ1" s="256" t="s">
        <v>612</v>
      </c>
      <c r="AK1" s="256" t="s">
        <v>613</v>
      </c>
      <c r="AL1" s="256" t="s">
        <v>614</v>
      </c>
      <c r="AM1" s="256" t="s">
        <v>615</v>
      </c>
      <c r="AN1" s="256" t="s">
        <v>616</v>
      </c>
      <c r="AO1" s="256" t="s">
        <v>617</v>
      </c>
      <c r="AP1" s="256" t="s">
        <v>618</v>
      </c>
      <c r="AQ1" s="256" t="s">
        <v>619</v>
      </c>
      <c r="AR1" s="256" t="s">
        <v>620</v>
      </c>
      <c r="AS1" s="256" t="s">
        <v>621</v>
      </c>
      <c r="AT1" s="256" t="s">
        <v>622</v>
      </c>
      <c r="AU1" s="256" t="s">
        <v>623</v>
      </c>
      <c r="AV1" s="256" t="s">
        <v>624</v>
      </c>
      <c r="AW1" s="256" t="s">
        <v>625</v>
      </c>
      <c r="AX1" s="256" t="s">
        <v>626</v>
      </c>
      <c r="AY1" s="257" t="s">
        <v>627</v>
      </c>
    </row>
    <row r="2" spans="1:51" ht="60" customHeight="1" outlineLevel="1" x14ac:dyDescent="0.35">
      <c r="A2" s="247" t="s">
        <v>3399</v>
      </c>
      <c r="B2" s="235" t="s">
        <v>3400</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630</v>
      </c>
      <c r="B3" s="236" t="s">
        <v>3401</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3402</v>
      </c>
      <c r="B4" s="237" t="s">
        <v>3403</v>
      </c>
      <c r="C4" s="237" t="s">
        <v>3404</v>
      </c>
      <c r="D4" s="237" t="s">
        <v>3405</v>
      </c>
      <c r="E4" s="237" t="s">
        <v>3406</v>
      </c>
      <c r="F4" s="237" t="s">
        <v>21</v>
      </c>
      <c r="G4" s="237" t="s">
        <v>21</v>
      </c>
      <c r="H4" s="237" t="s">
        <v>3407</v>
      </c>
      <c r="I4" s="237" t="s">
        <v>21</v>
      </c>
      <c r="J4" s="237" t="s">
        <v>3408</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3409</v>
      </c>
      <c r="B5" s="237" t="s">
        <v>3410</v>
      </c>
      <c r="C5" s="237" t="s">
        <v>3411</v>
      </c>
      <c r="D5" s="237" t="s">
        <v>3412</v>
      </c>
      <c r="E5" s="237" t="s">
        <v>3413</v>
      </c>
      <c r="F5" s="237" t="s">
        <v>3414</v>
      </c>
      <c r="G5" s="237" t="s">
        <v>21</v>
      </c>
      <c r="H5" s="237" t="s">
        <v>3415</v>
      </c>
      <c r="I5" s="237" t="s">
        <v>21</v>
      </c>
      <c r="J5" s="237" t="s">
        <v>3416</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636</v>
      </c>
      <c r="B6" s="236" t="s">
        <v>3417</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3418</v>
      </c>
      <c r="B7" s="237" t="s">
        <v>3419</v>
      </c>
      <c r="C7" s="237" t="s">
        <v>3420</v>
      </c>
      <c r="D7" s="237" t="s">
        <v>3421</v>
      </c>
      <c r="E7" s="237" t="s">
        <v>3413</v>
      </c>
      <c r="F7" s="237" t="s">
        <v>3422</v>
      </c>
      <c r="G7" s="237" t="s">
        <v>21</v>
      </c>
      <c r="H7" s="237" t="s">
        <v>3423</v>
      </c>
      <c r="I7" s="237" t="s">
        <v>21</v>
      </c>
      <c r="J7" s="237" t="s">
        <v>3424</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3425</v>
      </c>
      <c r="B8" s="237" t="s">
        <v>3426</v>
      </c>
      <c r="C8" s="237" t="s">
        <v>3427</v>
      </c>
      <c r="D8" s="237" t="s">
        <v>3428</v>
      </c>
      <c r="E8" s="237" t="s">
        <v>21</v>
      </c>
      <c r="F8" s="237" t="s">
        <v>21</v>
      </c>
      <c r="G8" s="237" t="s">
        <v>21</v>
      </c>
      <c r="H8" s="237" t="s">
        <v>3429</v>
      </c>
      <c r="I8" s="237" t="s">
        <v>3430</v>
      </c>
      <c r="J8" s="237" t="s">
        <v>3431</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3432</v>
      </c>
      <c r="B9" s="237" t="s">
        <v>3433</v>
      </c>
      <c r="C9" s="237" t="s">
        <v>3434</v>
      </c>
      <c r="D9" s="237" t="s">
        <v>3435</v>
      </c>
      <c r="E9" s="237" t="s">
        <v>21</v>
      </c>
      <c r="F9" s="237" t="s">
        <v>21</v>
      </c>
      <c r="G9" s="237" t="s">
        <v>21</v>
      </c>
      <c r="H9" s="237" t="s">
        <v>3436</v>
      </c>
      <c r="I9" s="237" t="s">
        <v>3437</v>
      </c>
      <c r="J9" s="237" t="s">
        <v>3438</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3439</v>
      </c>
      <c r="B10" s="237" t="s">
        <v>3440</v>
      </c>
      <c r="C10" s="237" t="s">
        <v>3441</v>
      </c>
      <c r="D10" s="237" t="s">
        <v>3442</v>
      </c>
      <c r="E10" s="237" t="s">
        <v>21</v>
      </c>
      <c r="F10" s="237" t="s">
        <v>21</v>
      </c>
      <c r="G10" s="237" t="s">
        <v>21</v>
      </c>
      <c r="H10" s="237" t="s">
        <v>3443</v>
      </c>
      <c r="I10" s="237" t="s">
        <v>3444</v>
      </c>
      <c r="J10" s="237" t="s">
        <v>3445</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3446</v>
      </c>
      <c r="B11" s="237" t="s">
        <v>3447</v>
      </c>
      <c r="C11" s="237" t="s">
        <v>3448</v>
      </c>
      <c r="D11" s="237" t="s">
        <v>3449</v>
      </c>
      <c r="E11" s="237" t="s">
        <v>21</v>
      </c>
      <c r="F11" s="237" t="s">
        <v>21</v>
      </c>
      <c r="G11" s="237" t="s">
        <v>21</v>
      </c>
      <c r="H11" s="237" t="s">
        <v>3450</v>
      </c>
      <c r="I11" s="237" t="s">
        <v>21</v>
      </c>
      <c r="J11" s="237" t="s">
        <v>3451</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3452</v>
      </c>
      <c r="B12" s="237" t="s">
        <v>3453</v>
      </c>
      <c r="C12" s="237" t="s">
        <v>3454</v>
      </c>
      <c r="D12" s="237" t="s">
        <v>3455</v>
      </c>
      <c r="E12" s="237" t="s">
        <v>21</v>
      </c>
      <c r="F12" s="237" t="s">
        <v>21</v>
      </c>
      <c r="G12" s="237" t="s">
        <v>3456</v>
      </c>
      <c r="H12" s="237" t="s">
        <v>3457</v>
      </c>
      <c r="I12" s="237" t="s">
        <v>21</v>
      </c>
      <c r="J12" s="237" t="s">
        <v>3458</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3459</v>
      </c>
      <c r="B13" s="237" t="s">
        <v>3460</v>
      </c>
      <c r="C13" s="237" t="s">
        <v>3461</v>
      </c>
      <c r="D13" s="237" t="s">
        <v>3462</v>
      </c>
      <c r="E13" s="237" t="s">
        <v>21</v>
      </c>
      <c r="F13" s="237" t="s">
        <v>21</v>
      </c>
      <c r="G13" s="237" t="s">
        <v>21</v>
      </c>
      <c r="H13" s="237" t="s">
        <v>3463</v>
      </c>
      <c r="I13" s="237" t="s">
        <v>21</v>
      </c>
      <c r="J13" s="237" t="s">
        <v>3464</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3465</v>
      </c>
      <c r="B14" s="237" t="s">
        <v>3466</v>
      </c>
      <c r="C14" s="237" t="s">
        <v>3467</v>
      </c>
      <c r="D14" s="237" t="s">
        <v>3468</v>
      </c>
      <c r="E14" s="237" t="s">
        <v>21</v>
      </c>
      <c r="F14" s="237" t="s">
        <v>3469</v>
      </c>
      <c r="G14" s="237" t="s">
        <v>21</v>
      </c>
      <c r="H14" s="237" t="s">
        <v>3470</v>
      </c>
      <c r="I14" s="237" t="s">
        <v>3471</v>
      </c>
      <c r="J14" s="237" t="s">
        <v>3472</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641</v>
      </c>
      <c r="B15" s="236" t="s">
        <v>3473</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3474</v>
      </c>
      <c r="B16" s="237" t="s">
        <v>3475</v>
      </c>
      <c r="C16" s="237" t="s">
        <v>3476</v>
      </c>
      <c r="D16" s="237" t="s">
        <v>3468</v>
      </c>
      <c r="E16" s="237" t="s">
        <v>21</v>
      </c>
      <c r="F16" s="237" t="s">
        <v>3477</v>
      </c>
      <c r="G16" s="237" t="s">
        <v>21</v>
      </c>
      <c r="H16" s="237" t="s">
        <v>3478</v>
      </c>
      <c r="I16" s="237" t="s">
        <v>21</v>
      </c>
      <c r="J16" s="237" t="s">
        <v>3479</v>
      </c>
      <c r="K16" s="240">
        <f>IF(COUNTIF(L16:AY16,"&lt;&gt;")=0,"",SUMPRODUCT(((Recommendations[ImplStatus]="Implemented")+(Recommendations[ImplStatus]="Compensated"))*ISNUMBER(MATCH(Recommendations[Id],L16:AY16,0)))/COUNTIF(L16:AY16,"&lt;&gt;"))</f>
        <v>0</v>
      </c>
      <c r="L16" s="243" t="s">
        <v>171</v>
      </c>
      <c r="M16" s="243" t="s">
        <v>270</v>
      </c>
      <c r="N16" s="243" t="s">
        <v>314</v>
      </c>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3480</v>
      </c>
      <c r="B17" s="237" t="s">
        <v>3481</v>
      </c>
      <c r="C17" s="237" t="s">
        <v>3482</v>
      </c>
      <c r="D17" s="237" t="s">
        <v>3483</v>
      </c>
      <c r="E17" s="237" t="s">
        <v>21</v>
      </c>
      <c r="F17" s="237" t="s">
        <v>3477</v>
      </c>
      <c r="G17" s="237" t="s">
        <v>21</v>
      </c>
      <c r="H17" s="237" t="s">
        <v>3484</v>
      </c>
      <c r="I17" s="237" t="s">
        <v>21</v>
      </c>
      <c r="J17" s="237" t="s">
        <v>3485</v>
      </c>
      <c r="K17" s="240">
        <f>IF(COUNTIF(L17:AY17,"&lt;&gt;")=0,"",SUMPRODUCT(((Recommendations[ImplStatus]="Implemented")+(Recommendations[ImplStatus]="Compensated"))*ISNUMBER(MATCH(Recommendations[Id],L17:AY17,0)))/COUNTIF(L17:AY17,"&lt;&gt;"))</f>
        <v>0</v>
      </c>
      <c r="L17" s="243" t="s">
        <v>171</v>
      </c>
      <c r="M17" s="243" t="s">
        <v>270</v>
      </c>
      <c r="N17" s="243" t="s">
        <v>314</v>
      </c>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3486</v>
      </c>
      <c r="B18" s="237" t="s">
        <v>3487</v>
      </c>
      <c r="C18" s="237" t="s">
        <v>3488</v>
      </c>
      <c r="D18" s="237" t="s">
        <v>21</v>
      </c>
      <c r="E18" s="237" t="s">
        <v>21</v>
      </c>
      <c r="F18" s="237" t="s">
        <v>21</v>
      </c>
      <c r="G18" s="237" t="s">
        <v>21</v>
      </c>
      <c r="H18" s="237" t="s">
        <v>3489</v>
      </c>
      <c r="I18" s="237" t="s">
        <v>21</v>
      </c>
      <c r="J18" s="237" t="s">
        <v>3490</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646</v>
      </c>
      <c r="B19" s="236" t="s">
        <v>3491</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3492</v>
      </c>
      <c r="B20" s="237" t="s">
        <v>3493</v>
      </c>
      <c r="C20" s="237" t="s">
        <v>3494</v>
      </c>
      <c r="D20" s="237" t="s">
        <v>3495</v>
      </c>
      <c r="E20" s="237" t="s">
        <v>21</v>
      </c>
      <c r="F20" s="237" t="s">
        <v>3496</v>
      </c>
      <c r="G20" s="237" t="s">
        <v>21</v>
      </c>
      <c r="H20" s="237" t="s">
        <v>3497</v>
      </c>
      <c r="I20" s="237" t="s">
        <v>21</v>
      </c>
      <c r="J20" s="237" t="s">
        <v>3498</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3499</v>
      </c>
      <c r="B21" s="237" t="s">
        <v>3500</v>
      </c>
      <c r="C21" s="237" t="s">
        <v>3501</v>
      </c>
      <c r="D21" s="237" t="s">
        <v>3502</v>
      </c>
      <c r="E21" s="237" t="s">
        <v>3503</v>
      </c>
      <c r="F21" s="237" t="s">
        <v>21</v>
      </c>
      <c r="G21" s="237" t="s">
        <v>21</v>
      </c>
      <c r="H21" s="237" t="s">
        <v>3504</v>
      </c>
      <c r="I21" s="237" t="s">
        <v>3505</v>
      </c>
      <c r="J21" s="237" t="s">
        <v>3506</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3507</v>
      </c>
      <c r="B22" s="237" t="s">
        <v>3508</v>
      </c>
      <c r="C22" s="237" t="s">
        <v>3509</v>
      </c>
      <c r="D22" s="237" t="s">
        <v>3510</v>
      </c>
      <c r="E22" s="237" t="s">
        <v>21</v>
      </c>
      <c r="F22" s="237" t="s">
        <v>3511</v>
      </c>
      <c r="G22" s="237" t="s">
        <v>21</v>
      </c>
      <c r="H22" s="237" t="s">
        <v>3512</v>
      </c>
      <c r="I22" s="237" t="s">
        <v>21</v>
      </c>
      <c r="J22" s="237" t="s">
        <v>3513</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3514</v>
      </c>
      <c r="B23" s="237" t="s">
        <v>3515</v>
      </c>
      <c r="C23" s="237" t="s">
        <v>3516</v>
      </c>
      <c r="D23" s="237" t="s">
        <v>3517</v>
      </c>
      <c r="E23" s="237" t="s">
        <v>21</v>
      </c>
      <c r="F23" s="237" t="s">
        <v>21</v>
      </c>
      <c r="G23" s="237" t="s">
        <v>21</v>
      </c>
      <c r="H23" s="237" t="s">
        <v>3518</v>
      </c>
      <c r="I23" s="237" t="s">
        <v>3519</v>
      </c>
      <c r="J23" s="237" t="s">
        <v>3520</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3521</v>
      </c>
      <c r="B24" s="237" t="s">
        <v>3522</v>
      </c>
      <c r="C24" s="237" t="s">
        <v>3523</v>
      </c>
      <c r="D24" s="237" t="s">
        <v>3517</v>
      </c>
      <c r="E24" s="237" t="s">
        <v>21</v>
      </c>
      <c r="F24" s="237" t="s">
        <v>3524</v>
      </c>
      <c r="G24" s="237" t="s">
        <v>21</v>
      </c>
      <c r="H24" s="237" t="s">
        <v>3525</v>
      </c>
      <c r="I24" s="237" t="s">
        <v>21</v>
      </c>
      <c r="J24" s="237" t="s">
        <v>3526</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650</v>
      </c>
      <c r="B25" s="236" t="s">
        <v>3527</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3528</v>
      </c>
      <c r="B26" s="237" t="s">
        <v>3529</v>
      </c>
      <c r="C26" s="237" t="s">
        <v>3530</v>
      </c>
      <c r="D26" s="237" t="s">
        <v>3531</v>
      </c>
      <c r="E26" s="237" t="s">
        <v>21</v>
      </c>
      <c r="F26" s="237" t="s">
        <v>3532</v>
      </c>
      <c r="G26" s="237" t="s">
        <v>21</v>
      </c>
      <c r="H26" s="237" t="s">
        <v>3533</v>
      </c>
      <c r="I26" s="237" t="s">
        <v>21</v>
      </c>
      <c r="J26" s="237" t="s">
        <v>3534</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3535</v>
      </c>
      <c r="B27" s="235" t="s">
        <v>3536</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656</v>
      </c>
      <c r="B28" s="236" t="s">
        <v>3537</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3538</v>
      </c>
      <c r="B29" s="237" t="s">
        <v>3539</v>
      </c>
      <c r="C29" s="237" t="s">
        <v>3540</v>
      </c>
      <c r="D29" s="237" t="s">
        <v>3541</v>
      </c>
      <c r="E29" s="237" t="s">
        <v>3542</v>
      </c>
      <c r="F29" s="237" t="s">
        <v>21</v>
      </c>
      <c r="G29" s="237" t="s">
        <v>21</v>
      </c>
      <c r="H29" s="237" t="s">
        <v>3543</v>
      </c>
      <c r="I29" s="237" t="s">
        <v>21</v>
      </c>
      <c r="J29" s="237" t="s">
        <v>3544</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3545</v>
      </c>
      <c r="B30" s="237" t="s">
        <v>3546</v>
      </c>
      <c r="C30" s="237" t="s">
        <v>3411</v>
      </c>
      <c r="D30" s="237" t="s">
        <v>3412</v>
      </c>
      <c r="E30" s="237" t="s">
        <v>21</v>
      </c>
      <c r="F30" s="237" t="s">
        <v>3414</v>
      </c>
      <c r="G30" s="237" t="s">
        <v>21</v>
      </c>
      <c r="H30" s="237" t="s">
        <v>3547</v>
      </c>
      <c r="I30" s="237" t="s">
        <v>21</v>
      </c>
      <c r="J30" s="237" t="s">
        <v>3548</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661</v>
      </c>
      <c r="B31" s="236" t="s">
        <v>3549</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3550</v>
      </c>
      <c r="B32" s="237" t="s">
        <v>3551</v>
      </c>
      <c r="C32" s="237" t="s">
        <v>3552</v>
      </c>
      <c r="D32" s="237" t="s">
        <v>3553</v>
      </c>
      <c r="E32" s="237" t="s">
        <v>21</v>
      </c>
      <c r="F32" s="237" t="s">
        <v>21</v>
      </c>
      <c r="G32" s="237" t="s">
        <v>3554</v>
      </c>
      <c r="H32" s="237" t="s">
        <v>3555</v>
      </c>
      <c r="I32" s="237" t="s">
        <v>21</v>
      </c>
      <c r="J32" s="237" t="s">
        <v>3556</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3557</v>
      </c>
      <c r="B33" s="237" t="s">
        <v>3558</v>
      </c>
      <c r="C33" s="237" t="s">
        <v>3559</v>
      </c>
      <c r="D33" s="237" t="s">
        <v>3560</v>
      </c>
      <c r="E33" s="237" t="s">
        <v>21</v>
      </c>
      <c r="F33" s="237" t="s">
        <v>3561</v>
      </c>
      <c r="G33" s="237" t="s">
        <v>21</v>
      </c>
      <c r="H33" s="237" t="s">
        <v>3562</v>
      </c>
      <c r="I33" s="237" t="s">
        <v>3563</v>
      </c>
      <c r="J33" s="237" t="s">
        <v>3564</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3565</v>
      </c>
      <c r="B34" s="237" t="s">
        <v>3566</v>
      </c>
      <c r="C34" s="237" t="s">
        <v>3567</v>
      </c>
      <c r="D34" s="237" t="s">
        <v>3568</v>
      </c>
      <c r="E34" s="237" t="s">
        <v>21</v>
      </c>
      <c r="F34" s="237" t="s">
        <v>21</v>
      </c>
      <c r="G34" s="237" t="s">
        <v>21</v>
      </c>
      <c r="H34" s="237" t="s">
        <v>3569</v>
      </c>
      <c r="I34" s="237" t="s">
        <v>21</v>
      </c>
      <c r="J34" s="237" t="s">
        <v>3570</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3571</v>
      </c>
      <c r="B35" s="237" t="s">
        <v>3572</v>
      </c>
      <c r="C35" s="237" t="s">
        <v>3573</v>
      </c>
      <c r="D35" s="237" t="s">
        <v>3574</v>
      </c>
      <c r="E35" s="237" t="s">
        <v>21</v>
      </c>
      <c r="F35" s="237" t="s">
        <v>3575</v>
      </c>
      <c r="G35" s="237" t="s">
        <v>21</v>
      </c>
      <c r="H35" s="237" t="s">
        <v>3576</v>
      </c>
      <c r="I35" s="237" t="s">
        <v>21</v>
      </c>
      <c r="J35" s="237" t="s">
        <v>3577</v>
      </c>
      <c r="K35" s="240">
        <f>IF(COUNTIF(L35:AY35,"&lt;&gt;")=0,"",SUMPRODUCT(((Recommendations[ImplStatus]="Implemented")+(Recommendations[ImplStatus]="Compensated"))*ISNUMBER(MATCH(Recommendations[Id],L35:AY35,0)))/COUNTIF(L35:AY35,"&lt;&gt;"))</f>
        <v>0</v>
      </c>
      <c r="L35" s="243" t="s">
        <v>135</v>
      </c>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3578</v>
      </c>
      <c r="B36" s="237" t="s">
        <v>3579</v>
      </c>
      <c r="C36" s="237" t="s">
        <v>3580</v>
      </c>
      <c r="D36" s="237" t="s">
        <v>3581</v>
      </c>
      <c r="E36" s="237" t="s">
        <v>21</v>
      </c>
      <c r="F36" s="237" t="s">
        <v>21</v>
      </c>
      <c r="G36" s="237" t="s">
        <v>3582</v>
      </c>
      <c r="H36" s="237" t="s">
        <v>3583</v>
      </c>
      <c r="I36" s="237" t="s">
        <v>21</v>
      </c>
      <c r="J36" s="237" t="s">
        <v>3584</v>
      </c>
      <c r="K36" s="240">
        <f>IF(COUNTIF(L36:AY36,"&lt;&gt;")=0,"",SUMPRODUCT(((Recommendations[ImplStatus]="Implemented")+(Recommendations[ImplStatus]="Compensated"))*ISNUMBER(MATCH(Recommendations[Id],L36:AY36,0)))/COUNTIF(L36:AY36,"&lt;&gt;"))</f>
        <v>0</v>
      </c>
      <c r="L36" s="243" t="s">
        <v>140</v>
      </c>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3585</v>
      </c>
      <c r="B37" s="237" t="s">
        <v>3586</v>
      </c>
      <c r="C37" s="237" t="s">
        <v>3587</v>
      </c>
      <c r="D37" s="237" t="s">
        <v>3588</v>
      </c>
      <c r="E37" s="237" t="s">
        <v>21</v>
      </c>
      <c r="F37" s="237" t="s">
        <v>3589</v>
      </c>
      <c r="G37" s="237" t="s">
        <v>3590</v>
      </c>
      <c r="H37" s="237" t="s">
        <v>3591</v>
      </c>
      <c r="I37" s="237" t="s">
        <v>21</v>
      </c>
      <c r="J37" s="237" t="s">
        <v>3592</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3593</v>
      </c>
      <c r="B38" s="237" t="s">
        <v>3594</v>
      </c>
      <c r="C38" s="237" t="s">
        <v>3595</v>
      </c>
      <c r="D38" s="237" t="s">
        <v>3596</v>
      </c>
      <c r="E38" s="237" t="s">
        <v>21</v>
      </c>
      <c r="F38" s="237" t="s">
        <v>3589</v>
      </c>
      <c r="G38" s="237" t="s">
        <v>3597</v>
      </c>
      <c r="H38" s="237" t="s">
        <v>3598</v>
      </c>
      <c r="I38" s="237" t="s">
        <v>3599</v>
      </c>
      <c r="J38" s="237" t="s">
        <v>3600</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665</v>
      </c>
      <c r="B39" s="236" t="s">
        <v>3601</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3602</v>
      </c>
      <c r="B40" s="237" t="s">
        <v>3603</v>
      </c>
      <c r="C40" s="237" t="s">
        <v>3604</v>
      </c>
      <c r="D40" s="237" t="s">
        <v>3605</v>
      </c>
      <c r="E40" s="237" t="s">
        <v>21</v>
      </c>
      <c r="F40" s="237" t="s">
        <v>21</v>
      </c>
      <c r="G40" s="237" t="s">
        <v>21</v>
      </c>
      <c r="H40" s="237" t="s">
        <v>3606</v>
      </c>
      <c r="I40" s="237" t="s">
        <v>3607</v>
      </c>
      <c r="J40" s="237" t="s">
        <v>3608</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3609</v>
      </c>
      <c r="B41" s="237" t="s">
        <v>3610</v>
      </c>
      <c r="C41" s="237" t="s">
        <v>3611</v>
      </c>
      <c r="D41" s="237" t="s">
        <v>21</v>
      </c>
      <c r="E41" s="237" t="s">
        <v>21</v>
      </c>
      <c r="F41" s="237" t="s">
        <v>21</v>
      </c>
      <c r="G41" s="237" t="s">
        <v>21</v>
      </c>
      <c r="H41" s="237" t="s">
        <v>3612</v>
      </c>
      <c r="I41" s="237" t="s">
        <v>21</v>
      </c>
      <c r="J41" s="237" t="s">
        <v>3613</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3614</v>
      </c>
      <c r="B42" s="235" t="s">
        <v>3615</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688</v>
      </c>
      <c r="B43" s="236" t="s">
        <v>3616</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3617</v>
      </c>
      <c r="B44" s="237" t="s">
        <v>3618</v>
      </c>
      <c r="C44" s="237" t="s">
        <v>3619</v>
      </c>
      <c r="D44" s="237" t="s">
        <v>3620</v>
      </c>
      <c r="E44" s="237" t="s">
        <v>3406</v>
      </c>
      <c r="F44" s="237" t="s">
        <v>21</v>
      </c>
      <c r="G44" s="237" t="s">
        <v>21</v>
      </c>
      <c r="H44" s="237" t="s">
        <v>3621</v>
      </c>
      <c r="I44" s="237" t="s">
        <v>21</v>
      </c>
      <c r="J44" s="237" t="s">
        <v>3622</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3623</v>
      </c>
      <c r="B45" s="237" t="s">
        <v>3624</v>
      </c>
      <c r="C45" s="237" t="s">
        <v>3625</v>
      </c>
      <c r="D45" s="237" t="s">
        <v>3412</v>
      </c>
      <c r="E45" s="237" t="s">
        <v>21</v>
      </c>
      <c r="F45" s="237" t="s">
        <v>3414</v>
      </c>
      <c r="G45" s="237" t="s">
        <v>21</v>
      </c>
      <c r="H45" s="237" t="s">
        <v>3626</v>
      </c>
      <c r="I45" s="237" t="s">
        <v>21</v>
      </c>
      <c r="J45" s="237" t="s">
        <v>3627</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694</v>
      </c>
      <c r="B46" s="236" t="s">
        <v>3628</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3629</v>
      </c>
      <c r="B47" s="237" t="s">
        <v>3630</v>
      </c>
      <c r="C47" s="237" t="s">
        <v>3631</v>
      </c>
      <c r="D47" s="237" t="s">
        <v>3632</v>
      </c>
      <c r="E47" s="237" t="s">
        <v>21</v>
      </c>
      <c r="F47" s="237" t="s">
        <v>3633</v>
      </c>
      <c r="G47" s="237" t="s">
        <v>3634</v>
      </c>
      <c r="H47" s="237" t="s">
        <v>3635</v>
      </c>
      <c r="I47" s="237" t="s">
        <v>3636</v>
      </c>
      <c r="J47" s="237" t="s">
        <v>3637</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698</v>
      </c>
      <c r="B48" s="236" t="s">
        <v>3638</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3639</v>
      </c>
      <c r="B49" s="237" t="s">
        <v>3640</v>
      </c>
      <c r="C49" s="237" t="s">
        <v>3641</v>
      </c>
      <c r="D49" s="237" t="s">
        <v>3642</v>
      </c>
      <c r="E49" s="237" t="s">
        <v>3643</v>
      </c>
      <c r="F49" s="237" t="s">
        <v>21</v>
      </c>
      <c r="G49" s="237" t="s">
        <v>21</v>
      </c>
      <c r="H49" s="237" t="s">
        <v>3644</v>
      </c>
      <c r="I49" s="237" t="s">
        <v>3645</v>
      </c>
      <c r="J49" s="237" t="s">
        <v>3646</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3647</v>
      </c>
      <c r="B50" s="237" t="s">
        <v>3648</v>
      </c>
      <c r="C50" s="237" t="s">
        <v>3649</v>
      </c>
      <c r="D50" s="237" t="s">
        <v>21</v>
      </c>
      <c r="E50" s="237" t="s">
        <v>3650</v>
      </c>
      <c r="F50" s="237" t="s">
        <v>3651</v>
      </c>
      <c r="G50" s="237" t="s">
        <v>21</v>
      </c>
      <c r="H50" s="237" t="s">
        <v>3644</v>
      </c>
      <c r="I50" s="237" t="s">
        <v>3652</v>
      </c>
      <c r="J50" s="237" t="s">
        <v>3653</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3654</v>
      </c>
      <c r="B51" s="237" t="s">
        <v>3655</v>
      </c>
      <c r="C51" s="237" t="s">
        <v>3656</v>
      </c>
      <c r="D51" s="237" t="s">
        <v>21</v>
      </c>
      <c r="E51" s="237" t="s">
        <v>21</v>
      </c>
      <c r="F51" s="237" t="s">
        <v>3657</v>
      </c>
      <c r="G51" s="237" t="s">
        <v>21</v>
      </c>
      <c r="H51" s="237" t="s">
        <v>3644</v>
      </c>
      <c r="I51" s="237" t="s">
        <v>3658</v>
      </c>
      <c r="J51" s="237" t="s">
        <v>3659</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3660</v>
      </c>
      <c r="B52" s="237" t="s">
        <v>3661</v>
      </c>
      <c r="C52" s="237" t="s">
        <v>3662</v>
      </c>
      <c r="D52" s="237" t="s">
        <v>21</v>
      </c>
      <c r="E52" s="237" t="s">
        <v>21</v>
      </c>
      <c r="F52" s="237" t="s">
        <v>3663</v>
      </c>
      <c r="G52" s="237" t="s">
        <v>21</v>
      </c>
      <c r="H52" s="237" t="s">
        <v>3644</v>
      </c>
      <c r="I52" s="237" t="s">
        <v>3664</v>
      </c>
      <c r="J52" s="237" t="s">
        <v>3665</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3666</v>
      </c>
      <c r="B53" s="237" t="s">
        <v>3667</v>
      </c>
      <c r="C53" s="237" t="s">
        <v>3668</v>
      </c>
      <c r="D53" s="237" t="s">
        <v>3669</v>
      </c>
      <c r="E53" s="237" t="s">
        <v>3670</v>
      </c>
      <c r="F53" s="237" t="s">
        <v>21</v>
      </c>
      <c r="G53" s="237" t="s">
        <v>21</v>
      </c>
      <c r="H53" s="237" t="s">
        <v>3671</v>
      </c>
      <c r="I53" s="237" t="s">
        <v>21</v>
      </c>
      <c r="J53" s="237" t="s">
        <v>3672</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3673</v>
      </c>
      <c r="B54" s="237" t="s">
        <v>3674</v>
      </c>
      <c r="C54" s="237" t="s">
        <v>3668</v>
      </c>
      <c r="D54" s="237" t="s">
        <v>3669</v>
      </c>
      <c r="E54" s="237" t="s">
        <v>21</v>
      </c>
      <c r="F54" s="237" t="s">
        <v>21</v>
      </c>
      <c r="G54" s="237" t="s">
        <v>21</v>
      </c>
      <c r="H54" s="237" t="s">
        <v>3675</v>
      </c>
      <c r="I54" s="237" t="s">
        <v>3676</v>
      </c>
      <c r="J54" s="237" t="s">
        <v>3677</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702</v>
      </c>
      <c r="B55" s="236" t="s">
        <v>3678</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3679</v>
      </c>
      <c r="B56" s="237" t="s">
        <v>3680</v>
      </c>
      <c r="C56" s="237" t="s">
        <v>3681</v>
      </c>
      <c r="D56" s="237" t="s">
        <v>3682</v>
      </c>
      <c r="E56" s="237" t="s">
        <v>3683</v>
      </c>
      <c r="F56" s="237" t="s">
        <v>21</v>
      </c>
      <c r="G56" s="237" t="s">
        <v>3684</v>
      </c>
      <c r="H56" s="237" t="s">
        <v>21</v>
      </c>
      <c r="I56" s="237" t="s">
        <v>21</v>
      </c>
      <c r="J56" s="237" t="s">
        <v>3685</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3686</v>
      </c>
      <c r="B57" s="237" t="s">
        <v>3687</v>
      </c>
      <c r="C57" s="237" t="s">
        <v>3688</v>
      </c>
      <c r="D57" s="237" t="s">
        <v>3689</v>
      </c>
      <c r="E57" s="237" t="s">
        <v>3690</v>
      </c>
      <c r="F57" s="237" t="s">
        <v>21</v>
      </c>
      <c r="G57" s="237" t="s">
        <v>3691</v>
      </c>
      <c r="H57" s="237" t="s">
        <v>3692</v>
      </c>
      <c r="I57" s="237" t="s">
        <v>21</v>
      </c>
      <c r="J57" s="237" t="s">
        <v>3693</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706</v>
      </c>
      <c r="B58" s="236" t="s">
        <v>3694</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3695</v>
      </c>
      <c r="B59" s="237" t="s">
        <v>3696</v>
      </c>
      <c r="C59" s="237" t="s">
        <v>3697</v>
      </c>
      <c r="D59" s="237" t="s">
        <v>3698</v>
      </c>
      <c r="E59" s="237" t="s">
        <v>21</v>
      </c>
      <c r="F59" s="237" t="s">
        <v>21</v>
      </c>
      <c r="G59" s="237" t="s">
        <v>3699</v>
      </c>
      <c r="H59" s="237" t="s">
        <v>3700</v>
      </c>
      <c r="I59" s="237" t="s">
        <v>3701</v>
      </c>
      <c r="J59" s="237" t="s">
        <v>3702</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3703</v>
      </c>
      <c r="B60" s="237" t="s">
        <v>3704</v>
      </c>
      <c r="C60" s="237" t="s">
        <v>3705</v>
      </c>
      <c r="D60" s="237" t="s">
        <v>21</v>
      </c>
      <c r="E60" s="237" t="s">
        <v>3706</v>
      </c>
      <c r="F60" s="237" t="s">
        <v>3707</v>
      </c>
      <c r="G60" s="237" t="s">
        <v>21</v>
      </c>
      <c r="H60" s="237" t="s">
        <v>3708</v>
      </c>
      <c r="I60" s="237" t="s">
        <v>3709</v>
      </c>
      <c r="J60" s="237" t="s">
        <v>3710</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3711</v>
      </c>
      <c r="B61" s="237" t="s">
        <v>3712</v>
      </c>
      <c r="C61" s="237" t="s">
        <v>3713</v>
      </c>
      <c r="D61" s="237" t="s">
        <v>21</v>
      </c>
      <c r="E61" s="237" t="s">
        <v>21</v>
      </c>
      <c r="F61" s="237" t="s">
        <v>21</v>
      </c>
      <c r="G61" s="237" t="s">
        <v>3714</v>
      </c>
      <c r="H61" s="237" t="s">
        <v>3715</v>
      </c>
      <c r="I61" s="237" t="s">
        <v>3716</v>
      </c>
      <c r="J61" s="237" t="s">
        <v>3717</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3718</v>
      </c>
      <c r="B62" s="237" t="s">
        <v>3719</v>
      </c>
      <c r="C62" s="237" t="s">
        <v>3720</v>
      </c>
      <c r="D62" s="237" t="s">
        <v>3721</v>
      </c>
      <c r="E62" s="237" t="s">
        <v>21</v>
      </c>
      <c r="F62" s="237" t="s">
        <v>21</v>
      </c>
      <c r="G62" s="237" t="s">
        <v>21</v>
      </c>
      <c r="H62" s="237" t="s">
        <v>3722</v>
      </c>
      <c r="I62" s="237" t="s">
        <v>3723</v>
      </c>
      <c r="J62" s="237" t="s">
        <v>3724</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710</v>
      </c>
      <c r="B63" s="236" t="s">
        <v>3725</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3726</v>
      </c>
      <c r="B64" s="237" t="s">
        <v>3727</v>
      </c>
      <c r="C64" s="237" t="s">
        <v>3728</v>
      </c>
      <c r="D64" s="237" t="s">
        <v>3729</v>
      </c>
      <c r="E64" s="237" t="s">
        <v>21</v>
      </c>
      <c r="F64" s="237" t="s">
        <v>21</v>
      </c>
      <c r="G64" s="237" t="s">
        <v>3730</v>
      </c>
      <c r="H64" s="237" t="s">
        <v>3731</v>
      </c>
      <c r="I64" s="237" t="s">
        <v>3732</v>
      </c>
      <c r="J64" s="237" t="s">
        <v>3733</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3734</v>
      </c>
      <c r="B65" s="237" t="s">
        <v>3735</v>
      </c>
      <c r="C65" s="237" t="s">
        <v>3736</v>
      </c>
      <c r="D65" s="237" t="s">
        <v>3737</v>
      </c>
      <c r="E65" s="237" t="s">
        <v>21</v>
      </c>
      <c r="F65" s="237" t="s">
        <v>21</v>
      </c>
      <c r="G65" s="237" t="s">
        <v>21</v>
      </c>
      <c r="H65" s="237" t="s">
        <v>3738</v>
      </c>
      <c r="I65" s="237" t="s">
        <v>3739</v>
      </c>
      <c r="J65" s="237" t="s">
        <v>3740</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3741</v>
      </c>
      <c r="B66" s="237" t="s">
        <v>3742</v>
      </c>
      <c r="C66" s="237" t="s">
        <v>3743</v>
      </c>
      <c r="D66" s="237" t="s">
        <v>3744</v>
      </c>
      <c r="E66" s="237" t="s">
        <v>21</v>
      </c>
      <c r="F66" s="237" t="s">
        <v>21</v>
      </c>
      <c r="G66" s="237" t="s">
        <v>21</v>
      </c>
      <c r="H66" s="237" t="s">
        <v>3745</v>
      </c>
      <c r="I66" s="237" t="s">
        <v>3746</v>
      </c>
      <c r="J66" s="237" t="s">
        <v>3747</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3748</v>
      </c>
      <c r="B67" s="237" t="s">
        <v>3749</v>
      </c>
      <c r="C67" s="237" t="s">
        <v>3750</v>
      </c>
      <c r="D67" s="237" t="s">
        <v>3751</v>
      </c>
      <c r="E67" s="237" t="s">
        <v>21</v>
      </c>
      <c r="F67" s="237" t="s">
        <v>21</v>
      </c>
      <c r="G67" s="237" t="s">
        <v>21</v>
      </c>
      <c r="H67" s="237" t="s">
        <v>3752</v>
      </c>
      <c r="I67" s="237" t="s">
        <v>21</v>
      </c>
      <c r="J67" s="237" t="s">
        <v>3753</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3754</v>
      </c>
      <c r="B68" s="237" t="s">
        <v>3755</v>
      </c>
      <c r="C68" s="237" t="s">
        <v>3756</v>
      </c>
      <c r="D68" s="237" t="s">
        <v>21</v>
      </c>
      <c r="E68" s="237" t="s">
        <v>21</v>
      </c>
      <c r="F68" s="237" t="s">
        <v>21</v>
      </c>
      <c r="G68" s="237" t="s">
        <v>21</v>
      </c>
      <c r="H68" s="237" t="s">
        <v>3757</v>
      </c>
      <c r="I68" s="237" t="s">
        <v>21</v>
      </c>
      <c r="J68" s="237" t="s">
        <v>3758</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714</v>
      </c>
      <c r="B69" s="236" t="s">
        <v>3759</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3760</v>
      </c>
      <c r="B70" s="237" t="s">
        <v>3761</v>
      </c>
      <c r="C70" s="237" t="s">
        <v>3762</v>
      </c>
      <c r="D70" s="237" t="s">
        <v>21</v>
      </c>
      <c r="E70" s="237" t="s">
        <v>21</v>
      </c>
      <c r="F70" s="237" t="s">
        <v>21</v>
      </c>
      <c r="G70" s="237" t="s">
        <v>3763</v>
      </c>
      <c r="H70" s="237" t="s">
        <v>3764</v>
      </c>
      <c r="I70" s="237" t="s">
        <v>21</v>
      </c>
      <c r="J70" s="237" t="s">
        <v>3765</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3766</v>
      </c>
      <c r="B71" s="237" t="s">
        <v>3767</v>
      </c>
      <c r="C71" s="237" t="s">
        <v>3768</v>
      </c>
      <c r="D71" s="237" t="s">
        <v>21</v>
      </c>
      <c r="E71" s="237" t="s">
        <v>21</v>
      </c>
      <c r="F71" s="237" t="s">
        <v>21</v>
      </c>
      <c r="G71" s="237" t="s">
        <v>21</v>
      </c>
      <c r="H71" s="237" t="s">
        <v>3769</v>
      </c>
      <c r="I71" s="237" t="s">
        <v>21</v>
      </c>
      <c r="J71" s="237" t="s">
        <v>3770</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3771</v>
      </c>
      <c r="B72" s="237" t="s">
        <v>3772</v>
      </c>
      <c r="C72" s="237" t="s">
        <v>3773</v>
      </c>
      <c r="D72" s="237" t="s">
        <v>3774</v>
      </c>
      <c r="E72" s="237" t="s">
        <v>3775</v>
      </c>
      <c r="F72" s="237" t="s">
        <v>21</v>
      </c>
      <c r="G72" s="237" t="s">
        <v>21</v>
      </c>
      <c r="H72" s="237" t="s">
        <v>3776</v>
      </c>
      <c r="I72" s="237" t="s">
        <v>21</v>
      </c>
      <c r="J72" s="237" t="s">
        <v>3777</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3778</v>
      </c>
      <c r="B73" s="237" t="s">
        <v>3779</v>
      </c>
      <c r="C73" s="237" t="s">
        <v>3780</v>
      </c>
      <c r="D73" s="237" t="s">
        <v>3781</v>
      </c>
      <c r="E73" s="237" t="s">
        <v>3775</v>
      </c>
      <c r="F73" s="237" t="s">
        <v>21</v>
      </c>
      <c r="G73" s="237" t="s">
        <v>3782</v>
      </c>
      <c r="H73" s="237" t="s">
        <v>3783</v>
      </c>
      <c r="I73" s="237" t="s">
        <v>21</v>
      </c>
      <c r="J73" s="237" t="s">
        <v>3784</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3785</v>
      </c>
      <c r="B74" s="237" t="s">
        <v>3786</v>
      </c>
      <c r="C74" s="237" t="s">
        <v>3787</v>
      </c>
      <c r="D74" s="237" t="s">
        <v>3781</v>
      </c>
      <c r="E74" s="237" t="s">
        <v>3788</v>
      </c>
      <c r="F74" s="237" t="s">
        <v>21</v>
      </c>
      <c r="G74" s="237" t="s">
        <v>3789</v>
      </c>
      <c r="H74" s="237" t="s">
        <v>3790</v>
      </c>
      <c r="I74" s="237" t="s">
        <v>3791</v>
      </c>
      <c r="J74" s="237" t="s">
        <v>3792</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3793</v>
      </c>
      <c r="B75" s="237" t="s">
        <v>3794</v>
      </c>
      <c r="C75" s="237" t="s">
        <v>3795</v>
      </c>
      <c r="D75" s="237" t="s">
        <v>3796</v>
      </c>
      <c r="E75" s="237" t="s">
        <v>3788</v>
      </c>
      <c r="F75" s="237" t="s">
        <v>3797</v>
      </c>
      <c r="G75" s="237" t="s">
        <v>3798</v>
      </c>
      <c r="H75" s="237" t="s">
        <v>3799</v>
      </c>
      <c r="I75" s="237" t="s">
        <v>3800</v>
      </c>
      <c r="J75" s="237" t="s">
        <v>3801</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3802</v>
      </c>
      <c r="B76" s="237" t="s">
        <v>3803</v>
      </c>
      <c r="C76" s="237" t="s">
        <v>3804</v>
      </c>
      <c r="D76" s="237" t="s">
        <v>3805</v>
      </c>
      <c r="E76" s="237" t="s">
        <v>21</v>
      </c>
      <c r="F76" s="237" t="s">
        <v>21</v>
      </c>
      <c r="G76" s="237" t="s">
        <v>21</v>
      </c>
      <c r="H76" s="237" t="s">
        <v>3806</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3807</v>
      </c>
      <c r="B77" s="237" t="s">
        <v>3808</v>
      </c>
      <c r="C77" s="237" t="s">
        <v>3809</v>
      </c>
      <c r="D77" s="237" t="s">
        <v>21</v>
      </c>
      <c r="E77" s="237" t="s">
        <v>21</v>
      </c>
      <c r="F77" s="237" t="s">
        <v>21</v>
      </c>
      <c r="G77" s="237" t="s">
        <v>3810</v>
      </c>
      <c r="H77" s="237" t="s">
        <v>3811</v>
      </c>
      <c r="I77" s="237" t="s">
        <v>21</v>
      </c>
      <c r="J77" s="237" t="s">
        <v>3812</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3813</v>
      </c>
      <c r="B78" s="237" t="s">
        <v>3814</v>
      </c>
      <c r="C78" s="237" t="s">
        <v>3815</v>
      </c>
      <c r="D78" s="237" t="s">
        <v>21</v>
      </c>
      <c r="E78" s="237" t="s">
        <v>21</v>
      </c>
      <c r="F78" s="237" t="s">
        <v>21</v>
      </c>
      <c r="G78" s="237" t="s">
        <v>3816</v>
      </c>
      <c r="H78" s="237" t="s">
        <v>3817</v>
      </c>
      <c r="I78" s="237" t="s">
        <v>3818</v>
      </c>
      <c r="J78" s="237" t="s">
        <v>3819</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3820</v>
      </c>
      <c r="B79" s="235" t="s">
        <v>3821</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748</v>
      </c>
      <c r="B80" s="236" t="s">
        <v>3822</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3823</v>
      </c>
      <c r="B81" s="237" t="s">
        <v>3824</v>
      </c>
      <c r="C81" s="237" t="s">
        <v>3825</v>
      </c>
      <c r="D81" s="237" t="s">
        <v>3620</v>
      </c>
      <c r="E81" s="237" t="s">
        <v>3826</v>
      </c>
      <c r="F81" s="237" t="s">
        <v>21</v>
      </c>
      <c r="G81" s="237" t="s">
        <v>21</v>
      </c>
      <c r="H81" s="237" t="s">
        <v>3827</v>
      </c>
      <c r="I81" s="237" t="s">
        <v>21</v>
      </c>
      <c r="J81" s="237" t="s">
        <v>3828</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3829</v>
      </c>
      <c r="B82" s="237" t="s">
        <v>3830</v>
      </c>
      <c r="C82" s="237" t="s">
        <v>3411</v>
      </c>
      <c r="D82" s="237" t="s">
        <v>3412</v>
      </c>
      <c r="E82" s="237" t="s">
        <v>21</v>
      </c>
      <c r="F82" s="237" t="s">
        <v>3414</v>
      </c>
      <c r="G82" s="237" t="s">
        <v>21</v>
      </c>
      <c r="H82" s="237" t="s">
        <v>3831</v>
      </c>
      <c r="I82" s="237" t="s">
        <v>21</v>
      </c>
      <c r="J82" s="237" t="s">
        <v>3832</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753</v>
      </c>
      <c r="B83" s="236" t="s">
        <v>3833</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3834</v>
      </c>
      <c r="B84" s="237" t="s">
        <v>3835</v>
      </c>
      <c r="C84" s="237" t="s">
        <v>3836</v>
      </c>
      <c r="D84" s="237" t="s">
        <v>3837</v>
      </c>
      <c r="E84" s="237" t="s">
        <v>21</v>
      </c>
      <c r="F84" s="237" t="s">
        <v>3838</v>
      </c>
      <c r="G84" s="237" t="s">
        <v>3839</v>
      </c>
      <c r="H84" s="237" t="s">
        <v>3840</v>
      </c>
      <c r="I84" s="237" t="s">
        <v>3841</v>
      </c>
      <c r="J84" s="237" t="s">
        <v>3842</v>
      </c>
      <c r="K84" s="240">
        <f>IF(COUNTIF(L84:AY84,"&lt;&gt;")=0,"",SUMPRODUCT(((Recommendations[ImplStatus]="Implemented")+(Recommendations[ImplStatus]="Compensated"))*ISNUMBER(MATCH(Recommendations[Id],L84:AY84,0)))/COUNTIF(L84:AY84,"&lt;&gt;"))</f>
        <v>0</v>
      </c>
      <c r="L84" s="243" t="s">
        <v>56</v>
      </c>
      <c r="M84" s="243" t="s">
        <v>145</v>
      </c>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3843</v>
      </c>
      <c r="B85" s="237" t="s">
        <v>3844</v>
      </c>
      <c r="C85" s="237" t="s">
        <v>3845</v>
      </c>
      <c r="D85" s="237" t="s">
        <v>3846</v>
      </c>
      <c r="E85" s="237" t="s">
        <v>21</v>
      </c>
      <c r="F85" s="237" t="s">
        <v>21</v>
      </c>
      <c r="G85" s="237" t="s">
        <v>21</v>
      </c>
      <c r="H85" s="237" t="s">
        <v>3847</v>
      </c>
      <c r="I85" s="237" t="s">
        <v>3848</v>
      </c>
      <c r="J85" s="237" t="s">
        <v>3849</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3850</v>
      </c>
      <c r="B86" s="237" t="s">
        <v>3851</v>
      </c>
      <c r="C86" s="237" t="s">
        <v>3852</v>
      </c>
      <c r="D86" s="237" t="s">
        <v>3853</v>
      </c>
      <c r="E86" s="237" t="s">
        <v>21</v>
      </c>
      <c r="F86" s="237" t="s">
        <v>21</v>
      </c>
      <c r="G86" s="237" t="s">
        <v>3854</v>
      </c>
      <c r="H86" s="237" t="s">
        <v>3855</v>
      </c>
      <c r="I86" s="237" t="s">
        <v>21</v>
      </c>
      <c r="J86" s="237" t="s">
        <v>3856</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3857</v>
      </c>
      <c r="B87" s="237" t="s">
        <v>3858</v>
      </c>
      <c r="C87" s="237" t="s">
        <v>3859</v>
      </c>
      <c r="D87" s="237" t="s">
        <v>3860</v>
      </c>
      <c r="E87" s="237" t="s">
        <v>21</v>
      </c>
      <c r="F87" s="237" t="s">
        <v>3861</v>
      </c>
      <c r="G87" s="237" t="s">
        <v>21</v>
      </c>
      <c r="H87" s="237" t="s">
        <v>3862</v>
      </c>
      <c r="I87" s="237" t="s">
        <v>3863</v>
      </c>
      <c r="J87" s="237" t="s">
        <v>3864</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3865</v>
      </c>
      <c r="B88" s="235" t="s">
        <v>3866</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800</v>
      </c>
      <c r="B89" s="236" t="s">
        <v>3867</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3868</v>
      </c>
      <c r="B90" s="237" t="s">
        <v>3869</v>
      </c>
      <c r="C90" s="237" t="s">
        <v>3870</v>
      </c>
      <c r="D90" s="237" t="s">
        <v>3620</v>
      </c>
      <c r="E90" s="237" t="s">
        <v>3406</v>
      </c>
      <c r="F90" s="237" t="s">
        <v>21</v>
      </c>
      <c r="G90" s="237" t="s">
        <v>21</v>
      </c>
      <c r="H90" s="237" t="s">
        <v>3871</v>
      </c>
      <c r="I90" s="237" t="s">
        <v>21</v>
      </c>
      <c r="J90" s="237" t="s">
        <v>3872</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3873</v>
      </c>
      <c r="B91" s="237" t="s">
        <v>3874</v>
      </c>
      <c r="C91" s="237" t="s">
        <v>3875</v>
      </c>
      <c r="D91" s="237" t="s">
        <v>3412</v>
      </c>
      <c r="E91" s="237" t="s">
        <v>21</v>
      </c>
      <c r="F91" s="237" t="s">
        <v>3414</v>
      </c>
      <c r="G91" s="237" t="s">
        <v>21</v>
      </c>
      <c r="H91" s="237" t="s">
        <v>3876</v>
      </c>
      <c r="I91" s="237" t="s">
        <v>21</v>
      </c>
      <c r="J91" s="237" t="s">
        <v>3877</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804</v>
      </c>
      <c r="B92" s="236" t="s">
        <v>3878</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3879</v>
      </c>
      <c r="B93" s="237" t="s">
        <v>3880</v>
      </c>
      <c r="C93" s="237" t="s">
        <v>3881</v>
      </c>
      <c r="D93" s="237" t="s">
        <v>3882</v>
      </c>
      <c r="E93" s="237" t="s">
        <v>3883</v>
      </c>
      <c r="F93" s="237" t="s">
        <v>21</v>
      </c>
      <c r="G93" s="237" t="s">
        <v>21</v>
      </c>
      <c r="H93" s="237" t="s">
        <v>3884</v>
      </c>
      <c r="I93" s="237" t="s">
        <v>21</v>
      </c>
      <c r="J93" s="237" t="s">
        <v>3885</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3886</v>
      </c>
      <c r="B94" s="237" t="s">
        <v>3887</v>
      </c>
      <c r="C94" s="237" t="s">
        <v>3888</v>
      </c>
      <c r="D94" s="237" t="s">
        <v>3889</v>
      </c>
      <c r="E94" s="237" t="s">
        <v>21</v>
      </c>
      <c r="F94" s="237" t="s">
        <v>3890</v>
      </c>
      <c r="G94" s="237" t="s">
        <v>21</v>
      </c>
      <c r="H94" s="237" t="s">
        <v>3891</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3892</v>
      </c>
      <c r="B95" s="237" t="s">
        <v>3893</v>
      </c>
      <c r="C95" s="237" t="s">
        <v>3894</v>
      </c>
      <c r="D95" s="237" t="s">
        <v>3895</v>
      </c>
      <c r="E95" s="237" t="s">
        <v>21</v>
      </c>
      <c r="F95" s="237" t="s">
        <v>21</v>
      </c>
      <c r="G95" s="237" t="s">
        <v>21</v>
      </c>
      <c r="H95" s="237" t="s">
        <v>3896</v>
      </c>
      <c r="I95" s="237" t="s">
        <v>3897</v>
      </c>
      <c r="J95" s="237" t="s">
        <v>3898</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3899</v>
      </c>
      <c r="B96" s="237" t="s">
        <v>3900</v>
      </c>
      <c r="C96" s="237" t="s">
        <v>3901</v>
      </c>
      <c r="D96" s="237" t="s">
        <v>21</v>
      </c>
      <c r="E96" s="237" t="s">
        <v>21</v>
      </c>
      <c r="F96" s="237" t="s">
        <v>21</v>
      </c>
      <c r="G96" s="237" t="s">
        <v>21</v>
      </c>
      <c r="H96" s="237" t="s">
        <v>3902</v>
      </c>
      <c r="I96" s="237" t="s">
        <v>3848</v>
      </c>
      <c r="J96" s="237" t="s">
        <v>3903</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808</v>
      </c>
      <c r="B97" s="236" t="s">
        <v>3904</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3905</v>
      </c>
      <c r="B98" s="237" t="s">
        <v>3906</v>
      </c>
      <c r="C98" s="237" t="s">
        <v>3907</v>
      </c>
      <c r="D98" s="237" t="s">
        <v>3908</v>
      </c>
      <c r="E98" s="237" t="s">
        <v>21</v>
      </c>
      <c r="F98" s="237" t="s">
        <v>21</v>
      </c>
      <c r="G98" s="237" t="s">
        <v>21</v>
      </c>
      <c r="H98" s="237" t="s">
        <v>3909</v>
      </c>
      <c r="I98" s="237" t="s">
        <v>21</v>
      </c>
      <c r="J98" s="237" t="s">
        <v>3910</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3911</v>
      </c>
      <c r="B99" s="237" t="s">
        <v>3912</v>
      </c>
      <c r="C99" s="237" t="s">
        <v>3913</v>
      </c>
      <c r="D99" s="237" t="s">
        <v>3914</v>
      </c>
      <c r="E99" s="237" t="s">
        <v>3915</v>
      </c>
      <c r="F99" s="237" t="s">
        <v>21</v>
      </c>
      <c r="G99" s="237" t="s">
        <v>21</v>
      </c>
      <c r="H99" s="237" t="s">
        <v>3916</v>
      </c>
      <c r="I99" s="237" t="s">
        <v>21</v>
      </c>
      <c r="J99" s="237" t="s">
        <v>3917</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3918</v>
      </c>
      <c r="B100" s="237" t="s">
        <v>3919</v>
      </c>
      <c r="C100" s="237" t="s">
        <v>3920</v>
      </c>
      <c r="D100" s="237" t="s">
        <v>21</v>
      </c>
      <c r="E100" s="237" t="s">
        <v>21</v>
      </c>
      <c r="F100" s="237" t="s">
        <v>21</v>
      </c>
      <c r="G100" s="237" t="s">
        <v>21</v>
      </c>
      <c r="H100" s="237" t="s">
        <v>3921</v>
      </c>
      <c r="I100" s="237" t="s">
        <v>3922</v>
      </c>
      <c r="J100" s="237" t="s">
        <v>3923</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3924</v>
      </c>
      <c r="B101" s="237" t="s">
        <v>3925</v>
      </c>
      <c r="C101" s="237" t="s">
        <v>3926</v>
      </c>
      <c r="D101" s="237" t="s">
        <v>21</v>
      </c>
      <c r="E101" s="237" t="s">
        <v>21</v>
      </c>
      <c r="F101" s="237" t="s">
        <v>21</v>
      </c>
      <c r="G101" s="237" t="s">
        <v>21</v>
      </c>
      <c r="H101" s="237" t="s">
        <v>3927</v>
      </c>
      <c r="I101" s="237" t="s">
        <v>3848</v>
      </c>
      <c r="J101" s="237" t="s">
        <v>3928</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3929</v>
      </c>
      <c r="B102" s="237" t="s">
        <v>3930</v>
      </c>
      <c r="C102" s="237" t="s">
        <v>3931</v>
      </c>
      <c r="D102" s="237" t="s">
        <v>3932</v>
      </c>
      <c r="E102" s="237" t="s">
        <v>21</v>
      </c>
      <c r="F102" s="237" t="s">
        <v>21</v>
      </c>
      <c r="G102" s="237" t="s">
        <v>21</v>
      </c>
      <c r="H102" s="237" t="s">
        <v>3933</v>
      </c>
      <c r="I102" s="237" t="s">
        <v>21</v>
      </c>
      <c r="J102" s="237" t="s">
        <v>3934</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3935</v>
      </c>
      <c r="B103" s="237" t="s">
        <v>3936</v>
      </c>
      <c r="C103" s="237" t="s">
        <v>3937</v>
      </c>
      <c r="D103" s="237" t="s">
        <v>3932</v>
      </c>
      <c r="E103" s="237" t="s">
        <v>21</v>
      </c>
      <c r="F103" s="237" t="s">
        <v>3938</v>
      </c>
      <c r="G103" s="237" t="s">
        <v>21</v>
      </c>
      <c r="H103" s="237" t="s">
        <v>3939</v>
      </c>
      <c r="I103" s="237" t="s">
        <v>3940</v>
      </c>
      <c r="J103" s="237" t="s">
        <v>3941</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812</v>
      </c>
      <c r="B104" s="236" t="s">
        <v>3942</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3943</v>
      </c>
      <c r="B105" s="237" t="s">
        <v>3944</v>
      </c>
      <c r="C105" s="237" t="s">
        <v>3945</v>
      </c>
      <c r="D105" s="237" t="s">
        <v>3946</v>
      </c>
      <c r="E105" s="237" t="s">
        <v>3947</v>
      </c>
      <c r="F105" s="237" t="s">
        <v>21</v>
      </c>
      <c r="G105" s="237" t="s">
        <v>21</v>
      </c>
      <c r="H105" s="237" t="s">
        <v>3948</v>
      </c>
      <c r="I105" s="237" t="s">
        <v>3949</v>
      </c>
      <c r="J105" s="237" t="s">
        <v>3950</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3951</v>
      </c>
      <c r="B106" s="235" t="s">
        <v>3952</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826</v>
      </c>
      <c r="B107" s="236" t="s">
        <v>3953</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3954</v>
      </c>
      <c r="B108" s="237" t="s">
        <v>3955</v>
      </c>
      <c r="C108" s="237" t="s">
        <v>3956</v>
      </c>
      <c r="D108" s="237" t="s">
        <v>3620</v>
      </c>
      <c r="E108" s="237" t="s">
        <v>3406</v>
      </c>
      <c r="F108" s="237" t="s">
        <v>21</v>
      </c>
      <c r="G108" s="237" t="s">
        <v>21</v>
      </c>
      <c r="H108" s="237" t="s">
        <v>3957</v>
      </c>
      <c r="I108" s="237" t="s">
        <v>21</v>
      </c>
      <c r="J108" s="237" t="s">
        <v>3958</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3959</v>
      </c>
      <c r="B109" s="237" t="s">
        <v>3960</v>
      </c>
      <c r="C109" s="237" t="s">
        <v>3961</v>
      </c>
      <c r="D109" s="237" t="s">
        <v>3412</v>
      </c>
      <c r="E109" s="237" t="s">
        <v>21</v>
      </c>
      <c r="F109" s="237" t="s">
        <v>3414</v>
      </c>
      <c r="G109" s="237" t="s">
        <v>21</v>
      </c>
      <c r="H109" s="237" t="s">
        <v>3962</v>
      </c>
      <c r="I109" s="237" t="s">
        <v>21</v>
      </c>
      <c r="J109" s="237" t="s">
        <v>3963</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830</v>
      </c>
      <c r="B110" s="236" t="s">
        <v>3964</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3965</v>
      </c>
      <c r="B111" s="237" t="s">
        <v>3966</v>
      </c>
      <c r="C111" s="237" t="s">
        <v>3967</v>
      </c>
      <c r="D111" s="237" t="s">
        <v>3968</v>
      </c>
      <c r="E111" s="237" t="s">
        <v>21</v>
      </c>
      <c r="F111" s="237" t="s">
        <v>3969</v>
      </c>
      <c r="G111" s="237" t="s">
        <v>21</v>
      </c>
      <c r="H111" s="237" t="s">
        <v>3970</v>
      </c>
      <c r="I111" s="237" t="s">
        <v>3971</v>
      </c>
      <c r="J111" s="237" t="s">
        <v>3972</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3973</v>
      </c>
      <c r="B112" s="237" t="s">
        <v>3974</v>
      </c>
      <c r="C112" s="237" t="s">
        <v>3975</v>
      </c>
      <c r="D112" s="237" t="s">
        <v>3976</v>
      </c>
      <c r="E112" s="237" t="s">
        <v>21</v>
      </c>
      <c r="F112" s="237" t="s">
        <v>21</v>
      </c>
      <c r="G112" s="237" t="s">
        <v>21</v>
      </c>
      <c r="H112" s="237" t="s">
        <v>3977</v>
      </c>
      <c r="I112" s="237" t="s">
        <v>21</v>
      </c>
      <c r="J112" s="237" t="s">
        <v>3978</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3979</v>
      </c>
      <c r="B113" s="237" t="s">
        <v>3980</v>
      </c>
      <c r="C113" s="237" t="s">
        <v>3981</v>
      </c>
      <c r="D113" s="237" t="s">
        <v>3982</v>
      </c>
      <c r="E113" s="237" t="s">
        <v>21</v>
      </c>
      <c r="F113" s="237" t="s">
        <v>21</v>
      </c>
      <c r="G113" s="237" t="s">
        <v>21</v>
      </c>
      <c r="H113" s="237" t="s">
        <v>3983</v>
      </c>
      <c r="I113" s="237" t="s">
        <v>3984</v>
      </c>
      <c r="J113" s="237" t="s">
        <v>3985</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3986</v>
      </c>
      <c r="B114" s="237" t="s">
        <v>3987</v>
      </c>
      <c r="C114" s="237" t="s">
        <v>3988</v>
      </c>
      <c r="D114" s="237" t="s">
        <v>3989</v>
      </c>
      <c r="E114" s="237" t="s">
        <v>21</v>
      </c>
      <c r="F114" s="237" t="s">
        <v>21</v>
      </c>
      <c r="G114" s="237" t="s">
        <v>3990</v>
      </c>
      <c r="H114" s="237" t="s">
        <v>3991</v>
      </c>
      <c r="I114" s="237" t="s">
        <v>3992</v>
      </c>
      <c r="J114" s="237" t="s">
        <v>3993</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3994</v>
      </c>
      <c r="B115" s="237" t="s">
        <v>3995</v>
      </c>
      <c r="C115" s="237" t="s">
        <v>3996</v>
      </c>
      <c r="D115" s="237" t="s">
        <v>3997</v>
      </c>
      <c r="E115" s="237" t="s">
        <v>21</v>
      </c>
      <c r="F115" s="237" t="s">
        <v>3998</v>
      </c>
      <c r="G115" s="237" t="s">
        <v>21</v>
      </c>
      <c r="H115" s="237" t="s">
        <v>3999</v>
      </c>
      <c r="I115" s="237" t="s">
        <v>3999</v>
      </c>
      <c r="J115" s="237" t="s">
        <v>4000</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834</v>
      </c>
      <c r="B116" s="236" t="s">
        <v>4001</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4002</v>
      </c>
      <c r="B117" s="237" t="s">
        <v>4003</v>
      </c>
      <c r="C117" s="237" t="s">
        <v>4004</v>
      </c>
      <c r="D117" s="237" t="s">
        <v>4005</v>
      </c>
      <c r="E117" s="237" t="s">
        <v>21</v>
      </c>
      <c r="F117" s="237" t="s">
        <v>4006</v>
      </c>
      <c r="G117" s="237" t="s">
        <v>4007</v>
      </c>
      <c r="H117" s="237" t="s">
        <v>4008</v>
      </c>
      <c r="I117" s="237" t="s">
        <v>4009</v>
      </c>
      <c r="J117" s="237" t="s">
        <v>4010</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4011</v>
      </c>
      <c r="B118" s="237" t="s">
        <v>4012</v>
      </c>
      <c r="C118" s="237" t="s">
        <v>4013</v>
      </c>
      <c r="D118" s="237" t="s">
        <v>4014</v>
      </c>
      <c r="E118" s="237" t="s">
        <v>21</v>
      </c>
      <c r="F118" s="237" t="s">
        <v>21</v>
      </c>
      <c r="G118" s="237" t="s">
        <v>21</v>
      </c>
      <c r="H118" s="237" t="s">
        <v>4015</v>
      </c>
      <c r="I118" s="237" t="s">
        <v>3848</v>
      </c>
      <c r="J118" s="237" t="s">
        <v>4016</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4017</v>
      </c>
      <c r="B119" s="237" t="s">
        <v>4018</v>
      </c>
      <c r="C119" s="237" t="s">
        <v>4019</v>
      </c>
      <c r="D119" s="237" t="s">
        <v>4020</v>
      </c>
      <c r="E119" s="237" t="s">
        <v>21</v>
      </c>
      <c r="F119" s="237" t="s">
        <v>4021</v>
      </c>
      <c r="G119" s="237" t="s">
        <v>21</v>
      </c>
      <c r="H119" s="237" t="s">
        <v>4022</v>
      </c>
      <c r="I119" s="237" t="s">
        <v>4023</v>
      </c>
      <c r="J119" s="237" t="s">
        <v>4024</v>
      </c>
      <c r="K119" s="240">
        <f>IF(COUNTIF(L119:AY119,"&lt;&gt;")=0,"",SUMPRODUCT(((Recommendations[ImplStatus]="Implemented")+(Recommendations[ImplStatus]="Compensated"))*ISNUMBER(MATCH(Recommendations[Id],L119:AY119,0)))/COUNTIF(L119:AY119,"&lt;&gt;"))</f>
        <v>0</v>
      </c>
      <c r="L119" s="243" t="s">
        <v>130</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838</v>
      </c>
      <c r="B120" s="236" t="s">
        <v>4025</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4026</v>
      </c>
      <c r="B121" s="237" t="s">
        <v>4027</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4028</v>
      </c>
      <c r="B122" s="237" t="s">
        <v>4029</v>
      </c>
      <c r="C122" s="237" t="s">
        <v>4030</v>
      </c>
      <c r="D122" s="237" t="s">
        <v>4031</v>
      </c>
      <c r="E122" s="237" t="s">
        <v>21</v>
      </c>
      <c r="F122" s="237" t="s">
        <v>4032</v>
      </c>
      <c r="G122" s="237" t="s">
        <v>21</v>
      </c>
      <c r="H122" s="237" t="s">
        <v>4033</v>
      </c>
      <c r="I122" s="237" t="s">
        <v>4034</v>
      </c>
      <c r="J122" s="237" t="s">
        <v>4035</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4036</v>
      </c>
      <c r="B123" s="237" t="s">
        <v>4037</v>
      </c>
      <c r="C123" s="237" t="s">
        <v>4038</v>
      </c>
      <c r="D123" s="237" t="s">
        <v>4039</v>
      </c>
      <c r="E123" s="237" t="s">
        <v>21</v>
      </c>
      <c r="F123" s="237" t="s">
        <v>4040</v>
      </c>
      <c r="G123" s="237" t="s">
        <v>21</v>
      </c>
      <c r="H123" s="237" t="s">
        <v>4041</v>
      </c>
      <c r="I123" s="237" t="s">
        <v>21</v>
      </c>
      <c r="J123" s="237" t="s">
        <v>4042</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842</v>
      </c>
      <c r="B124" s="236" t="s">
        <v>4043</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4044</v>
      </c>
      <c r="B125" s="237" t="s">
        <v>4045</v>
      </c>
      <c r="C125" s="237" t="s">
        <v>4046</v>
      </c>
      <c r="D125" s="237" t="s">
        <v>4047</v>
      </c>
      <c r="E125" s="237" t="s">
        <v>21</v>
      </c>
      <c r="F125" s="237" t="s">
        <v>21</v>
      </c>
      <c r="G125" s="237" t="s">
        <v>21</v>
      </c>
      <c r="H125" s="237" t="s">
        <v>4048</v>
      </c>
      <c r="I125" s="237" t="s">
        <v>21</v>
      </c>
      <c r="J125" s="237" t="s">
        <v>4049</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4050</v>
      </c>
      <c r="B126" s="237" t="s">
        <v>4051</v>
      </c>
      <c r="C126" s="237" t="s">
        <v>4052</v>
      </c>
      <c r="D126" s="237" t="s">
        <v>4053</v>
      </c>
      <c r="E126" s="237" t="s">
        <v>21</v>
      </c>
      <c r="F126" s="237" t="s">
        <v>4054</v>
      </c>
      <c r="G126" s="237" t="s">
        <v>21</v>
      </c>
      <c r="H126" s="237" t="s">
        <v>4055</v>
      </c>
      <c r="I126" s="237" t="s">
        <v>4056</v>
      </c>
      <c r="J126" s="237" t="s">
        <v>4057</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4058</v>
      </c>
      <c r="B127" s="237" t="s">
        <v>4059</v>
      </c>
      <c r="C127" s="237" t="s">
        <v>4060</v>
      </c>
      <c r="D127" s="237" t="s">
        <v>4061</v>
      </c>
      <c r="E127" s="237" t="s">
        <v>4062</v>
      </c>
      <c r="F127" s="237" t="s">
        <v>21</v>
      </c>
      <c r="G127" s="237" t="s">
        <v>21</v>
      </c>
      <c r="H127" s="237" t="s">
        <v>4063</v>
      </c>
      <c r="I127" s="237" t="s">
        <v>21</v>
      </c>
      <c r="J127" s="237" t="s">
        <v>4064</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4065</v>
      </c>
      <c r="B128" s="237" t="s">
        <v>4066</v>
      </c>
      <c r="C128" s="237" t="s">
        <v>4067</v>
      </c>
      <c r="D128" s="237" t="s">
        <v>21</v>
      </c>
      <c r="E128" s="237" t="s">
        <v>21</v>
      </c>
      <c r="F128" s="237" t="s">
        <v>21</v>
      </c>
      <c r="G128" s="237" t="s">
        <v>21</v>
      </c>
      <c r="H128" s="237" t="s">
        <v>4068</v>
      </c>
      <c r="I128" s="237" t="s">
        <v>4069</v>
      </c>
      <c r="J128" s="237" t="s">
        <v>4070</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4071</v>
      </c>
      <c r="B129" s="237" t="s">
        <v>4072</v>
      </c>
      <c r="C129" s="237" t="s">
        <v>4073</v>
      </c>
      <c r="D129" s="237" t="s">
        <v>21</v>
      </c>
      <c r="E129" s="237" t="s">
        <v>4074</v>
      </c>
      <c r="F129" s="237" t="s">
        <v>21</v>
      </c>
      <c r="G129" s="237" t="s">
        <v>21</v>
      </c>
      <c r="H129" s="237" t="s">
        <v>4075</v>
      </c>
      <c r="I129" s="237" t="s">
        <v>21</v>
      </c>
      <c r="J129" s="237" t="s">
        <v>4076</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4077</v>
      </c>
      <c r="B130" s="237" t="s">
        <v>4078</v>
      </c>
      <c r="C130" s="237" t="s">
        <v>4079</v>
      </c>
      <c r="D130" s="237" t="s">
        <v>21</v>
      </c>
      <c r="E130" s="237" t="s">
        <v>21</v>
      </c>
      <c r="F130" s="237" t="s">
        <v>21</v>
      </c>
      <c r="G130" s="237" t="s">
        <v>21</v>
      </c>
      <c r="H130" s="237" t="s">
        <v>4080</v>
      </c>
      <c r="I130" s="237" t="s">
        <v>21</v>
      </c>
      <c r="J130" s="237" t="s">
        <v>4081</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4082</v>
      </c>
      <c r="B131" s="235" t="s">
        <v>4083</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860</v>
      </c>
      <c r="B132" s="236" t="s">
        <v>4084</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4085</v>
      </c>
      <c r="B133" s="237" t="s">
        <v>4086</v>
      </c>
      <c r="C133" s="237" t="s">
        <v>4087</v>
      </c>
      <c r="D133" s="237" t="s">
        <v>3620</v>
      </c>
      <c r="E133" s="237" t="s">
        <v>3406</v>
      </c>
      <c r="F133" s="237" t="s">
        <v>21</v>
      </c>
      <c r="G133" s="237" t="s">
        <v>21</v>
      </c>
      <c r="H133" s="237" t="s">
        <v>4088</v>
      </c>
      <c r="I133" s="237" t="s">
        <v>21</v>
      </c>
      <c r="J133" s="237" t="s">
        <v>4089</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4090</v>
      </c>
      <c r="B134" s="237" t="s">
        <v>4091</v>
      </c>
      <c r="C134" s="237" t="s">
        <v>3625</v>
      </c>
      <c r="D134" s="237" t="s">
        <v>3412</v>
      </c>
      <c r="E134" s="237" t="s">
        <v>21</v>
      </c>
      <c r="F134" s="237" t="s">
        <v>3414</v>
      </c>
      <c r="G134" s="237" t="s">
        <v>21</v>
      </c>
      <c r="H134" s="237" t="s">
        <v>4092</v>
      </c>
      <c r="I134" s="237" t="s">
        <v>21</v>
      </c>
      <c r="J134" s="237" t="s">
        <v>4093</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864</v>
      </c>
      <c r="B135" s="236" t="s">
        <v>4094</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4095</v>
      </c>
      <c r="B136" s="237" t="s">
        <v>4096</v>
      </c>
      <c r="C136" s="237" t="s">
        <v>4097</v>
      </c>
      <c r="D136" s="237" t="s">
        <v>4098</v>
      </c>
      <c r="E136" s="237" t="s">
        <v>4099</v>
      </c>
      <c r="F136" s="237" t="s">
        <v>4100</v>
      </c>
      <c r="G136" s="237" t="s">
        <v>21</v>
      </c>
      <c r="H136" s="237" t="s">
        <v>4101</v>
      </c>
      <c r="I136" s="237" t="s">
        <v>21</v>
      </c>
      <c r="J136" s="237" t="s">
        <v>4102</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4103</v>
      </c>
      <c r="B137" s="237" t="s">
        <v>4104</v>
      </c>
      <c r="C137" s="237" t="s">
        <v>4105</v>
      </c>
      <c r="D137" s="237" t="s">
        <v>4106</v>
      </c>
      <c r="E137" s="237" t="s">
        <v>21</v>
      </c>
      <c r="F137" s="237" t="s">
        <v>21</v>
      </c>
      <c r="G137" s="237" t="s">
        <v>21</v>
      </c>
      <c r="H137" s="237" t="s">
        <v>4107</v>
      </c>
      <c r="I137" s="237" t="s">
        <v>21</v>
      </c>
      <c r="J137" s="237" t="s">
        <v>4108</v>
      </c>
      <c r="K137" s="240">
        <f>IF(COUNTIF(L137:AY137,"&lt;&gt;")=0,"",SUMPRODUCT(((Recommendations[ImplStatus]="Implemented")+(Recommendations[ImplStatus]="Compensated"))*ISNUMBER(MATCH(Recommendations[Id],L137:AY137,0)))/COUNTIF(L137:AY137,"&lt;&gt;"))</f>
        <v>0</v>
      </c>
      <c r="L137" s="243" t="s">
        <v>25</v>
      </c>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4109</v>
      </c>
      <c r="B138" s="237" t="s">
        <v>4110</v>
      </c>
      <c r="C138" s="237" t="s">
        <v>4111</v>
      </c>
      <c r="D138" s="237" t="s">
        <v>21</v>
      </c>
      <c r="E138" s="237" t="s">
        <v>21</v>
      </c>
      <c r="F138" s="237" t="s">
        <v>21</v>
      </c>
      <c r="G138" s="237" t="s">
        <v>21</v>
      </c>
      <c r="H138" s="237" t="s">
        <v>4112</v>
      </c>
      <c r="I138" s="237" t="s">
        <v>21</v>
      </c>
      <c r="J138" s="237" t="s">
        <v>4113</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4114</v>
      </c>
      <c r="B139" s="237" t="s">
        <v>4115</v>
      </c>
      <c r="C139" s="237" t="s">
        <v>4116</v>
      </c>
      <c r="D139" s="237" t="s">
        <v>4117</v>
      </c>
      <c r="E139" s="237" t="s">
        <v>21</v>
      </c>
      <c r="F139" s="237" t="s">
        <v>21</v>
      </c>
      <c r="G139" s="237" t="s">
        <v>21</v>
      </c>
      <c r="H139" s="237" t="s">
        <v>4118</v>
      </c>
      <c r="I139" s="237" t="s">
        <v>4119</v>
      </c>
      <c r="J139" s="237" t="s">
        <v>4120</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4121</v>
      </c>
      <c r="B140" s="237" t="s">
        <v>4122</v>
      </c>
      <c r="C140" s="237" t="s">
        <v>4123</v>
      </c>
      <c r="D140" s="237" t="s">
        <v>4124</v>
      </c>
      <c r="E140" s="237" t="s">
        <v>21</v>
      </c>
      <c r="F140" s="237" t="s">
        <v>21</v>
      </c>
      <c r="G140" s="237" t="s">
        <v>21</v>
      </c>
      <c r="H140" s="237" t="s">
        <v>4125</v>
      </c>
      <c r="I140" s="237" t="s">
        <v>3848</v>
      </c>
      <c r="J140" s="237" t="s">
        <v>4126</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4127</v>
      </c>
      <c r="B141" s="237" t="s">
        <v>4128</v>
      </c>
      <c r="C141" s="237" t="s">
        <v>4129</v>
      </c>
      <c r="D141" s="237" t="s">
        <v>21</v>
      </c>
      <c r="E141" s="237" t="s">
        <v>4130</v>
      </c>
      <c r="F141" s="237" t="s">
        <v>21</v>
      </c>
      <c r="G141" s="237" t="s">
        <v>21</v>
      </c>
      <c r="H141" s="237" t="s">
        <v>4131</v>
      </c>
      <c r="I141" s="237" t="s">
        <v>3848</v>
      </c>
      <c r="J141" s="237" t="s">
        <v>4132</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4133</v>
      </c>
      <c r="B142" s="237" t="s">
        <v>4134</v>
      </c>
      <c r="C142" s="237" t="s">
        <v>4135</v>
      </c>
      <c r="D142" s="237" t="s">
        <v>4136</v>
      </c>
      <c r="E142" s="237" t="s">
        <v>4130</v>
      </c>
      <c r="F142" s="237" t="s">
        <v>21</v>
      </c>
      <c r="G142" s="237" t="s">
        <v>21</v>
      </c>
      <c r="H142" s="237" t="s">
        <v>4137</v>
      </c>
      <c r="I142" s="237" t="s">
        <v>4138</v>
      </c>
      <c r="J142" s="237" t="s">
        <v>4139</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868</v>
      </c>
      <c r="B143" s="236" t="s">
        <v>4140</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4141</v>
      </c>
      <c r="B144" s="237" t="s">
        <v>4142</v>
      </c>
      <c r="C144" s="237" t="s">
        <v>4143</v>
      </c>
      <c r="D144" s="237" t="s">
        <v>21</v>
      </c>
      <c r="E144" s="237" t="s">
        <v>21</v>
      </c>
      <c r="F144" s="237" t="s">
        <v>21</v>
      </c>
      <c r="G144" s="237" t="s">
        <v>21</v>
      </c>
      <c r="H144" s="237" t="s">
        <v>4144</v>
      </c>
      <c r="I144" s="237" t="s">
        <v>21</v>
      </c>
      <c r="J144" s="237" t="s">
        <v>4145</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4146</v>
      </c>
      <c r="B145" s="237" t="s">
        <v>4147</v>
      </c>
      <c r="C145" s="237" t="s">
        <v>4148</v>
      </c>
      <c r="D145" s="237" t="s">
        <v>21</v>
      </c>
      <c r="E145" s="237" t="s">
        <v>21</v>
      </c>
      <c r="F145" s="237" t="s">
        <v>21</v>
      </c>
      <c r="G145" s="237" t="s">
        <v>21</v>
      </c>
      <c r="H145" s="237" t="s">
        <v>4149</v>
      </c>
      <c r="I145" s="237" t="s">
        <v>21</v>
      </c>
      <c r="J145" s="237" t="s">
        <v>4150</v>
      </c>
      <c r="K145" s="240">
        <f>IF(COUNTIF(L145:AY145,"&lt;&gt;")=0,"",SUMPRODUCT(((Recommendations[ImplStatus]="Implemented")+(Recommendations[ImplStatus]="Compensated"))*ISNUMBER(MATCH(Recommendations[Id],L145:AY145,0)))/COUNTIF(L145:AY145,"&lt;&gt;"))</f>
        <v>0</v>
      </c>
      <c r="L145" s="243" t="s">
        <v>25</v>
      </c>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4151</v>
      </c>
      <c r="B146" s="237" t="s">
        <v>4152</v>
      </c>
      <c r="C146" s="237" t="s">
        <v>4153</v>
      </c>
      <c r="D146" s="237" t="s">
        <v>4154</v>
      </c>
      <c r="E146" s="237" t="s">
        <v>21</v>
      </c>
      <c r="F146" s="237" t="s">
        <v>21</v>
      </c>
      <c r="G146" s="237" t="s">
        <v>21</v>
      </c>
      <c r="H146" s="237" t="s">
        <v>4155</v>
      </c>
      <c r="I146" s="237" t="s">
        <v>21</v>
      </c>
      <c r="J146" s="237" t="s">
        <v>4156</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4157</v>
      </c>
      <c r="B147" s="235" t="s">
        <v>4158</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890</v>
      </c>
      <c r="B148" s="236" t="s">
        <v>4159</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4160</v>
      </c>
      <c r="B149" s="237" t="s">
        <v>4161</v>
      </c>
      <c r="C149" s="237" t="s">
        <v>4162</v>
      </c>
      <c r="D149" s="237" t="s">
        <v>3620</v>
      </c>
      <c r="E149" s="237" t="s">
        <v>3406</v>
      </c>
      <c r="F149" s="237" t="s">
        <v>21</v>
      </c>
      <c r="G149" s="237" t="s">
        <v>21</v>
      </c>
      <c r="H149" s="237" t="s">
        <v>4163</v>
      </c>
      <c r="I149" s="237" t="s">
        <v>21</v>
      </c>
      <c r="J149" s="237" t="s">
        <v>4164</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4165</v>
      </c>
      <c r="B150" s="237" t="s">
        <v>4166</v>
      </c>
      <c r="C150" s="237" t="s">
        <v>3411</v>
      </c>
      <c r="D150" s="237" t="s">
        <v>3412</v>
      </c>
      <c r="E150" s="237" t="s">
        <v>21</v>
      </c>
      <c r="F150" s="237" t="s">
        <v>3414</v>
      </c>
      <c r="G150" s="237" t="s">
        <v>21</v>
      </c>
      <c r="H150" s="237" t="s">
        <v>4167</v>
      </c>
      <c r="I150" s="237" t="s">
        <v>21</v>
      </c>
      <c r="J150" s="237" t="s">
        <v>4168</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894</v>
      </c>
      <c r="B151" s="236" t="s">
        <v>4169</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4170</v>
      </c>
      <c r="B152" s="237" t="s">
        <v>4171</v>
      </c>
      <c r="C152" s="237" t="s">
        <v>4172</v>
      </c>
      <c r="D152" s="237" t="s">
        <v>21</v>
      </c>
      <c r="E152" s="237" t="s">
        <v>21</v>
      </c>
      <c r="F152" s="237" t="s">
        <v>21</v>
      </c>
      <c r="G152" s="237" t="s">
        <v>21</v>
      </c>
      <c r="H152" s="237" t="s">
        <v>4173</v>
      </c>
      <c r="I152" s="237" t="s">
        <v>4174</v>
      </c>
      <c r="J152" s="237" t="s">
        <v>4175</v>
      </c>
      <c r="K152" s="240">
        <f>IF(COUNTIF(L152:AY152,"&lt;&gt;")=0,"",SUMPRODUCT(((Recommendations[ImplStatus]="Implemented")+(Recommendations[ImplStatus]="Compensated"))*ISNUMBER(MATCH(Recommendations[Id],L152:AY152,0)))/COUNTIF(L152:AY152,"&lt;&gt;"))</f>
        <v>0</v>
      </c>
      <c r="L152" s="243" t="s">
        <v>46</v>
      </c>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4176</v>
      </c>
      <c r="B153" s="237" t="s">
        <v>4177</v>
      </c>
      <c r="C153" s="237" t="s">
        <v>4178</v>
      </c>
      <c r="D153" s="237" t="s">
        <v>4179</v>
      </c>
      <c r="E153" s="237" t="s">
        <v>21</v>
      </c>
      <c r="F153" s="237" t="s">
        <v>4180</v>
      </c>
      <c r="G153" s="237" t="s">
        <v>21</v>
      </c>
      <c r="H153" s="237" t="s">
        <v>4181</v>
      </c>
      <c r="I153" s="237" t="s">
        <v>4182</v>
      </c>
      <c r="J153" s="237" t="s">
        <v>4183</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4184</v>
      </c>
      <c r="B154" s="237" t="s">
        <v>4185</v>
      </c>
      <c r="C154" s="237" t="s">
        <v>4186</v>
      </c>
      <c r="D154" s="237" t="s">
        <v>21</v>
      </c>
      <c r="E154" s="237" t="s">
        <v>21</v>
      </c>
      <c r="F154" s="237" t="s">
        <v>4187</v>
      </c>
      <c r="G154" s="237" t="s">
        <v>21</v>
      </c>
      <c r="H154" s="237" t="s">
        <v>4188</v>
      </c>
      <c r="I154" s="237" t="s">
        <v>21</v>
      </c>
      <c r="J154" s="237" t="s">
        <v>4189</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4190</v>
      </c>
      <c r="B155" s="237" t="s">
        <v>4191</v>
      </c>
      <c r="C155" s="237" t="s">
        <v>4192</v>
      </c>
      <c r="D155" s="237" t="s">
        <v>21</v>
      </c>
      <c r="E155" s="237" t="s">
        <v>21</v>
      </c>
      <c r="F155" s="237" t="s">
        <v>21</v>
      </c>
      <c r="G155" s="237" t="s">
        <v>21</v>
      </c>
      <c r="H155" s="237" t="s">
        <v>4193</v>
      </c>
      <c r="I155" s="237" t="s">
        <v>4194</v>
      </c>
      <c r="J155" s="237" t="s">
        <v>4195</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4196</v>
      </c>
      <c r="B156" s="237" t="s">
        <v>4197</v>
      </c>
      <c r="C156" s="237" t="s">
        <v>4198</v>
      </c>
      <c r="D156" s="237" t="s">
        <v>21</v>
      </c>
      <c r="E156" s="237" t="s">
        <v>21</v>
      </c>
      <c r="F156" s="237" t="s">
        <v>21</v>
      </c>
      <c r="G156" s="237" t="s">
        <v>21</v>
      </c>
      <c r="H156" s="237" t="s">
        <v>4199</v>
      </c>
      <c r="I156" s="237" t="s">
        <v>21</v>
      </c>
      <c r="J156" s="237" t="s">
        <v>4200</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4201</v>
      </c>
      <c r="B157" s="237" t="s">
        <v>4202</v>
      </c>
      <c r="C157" s="237" t="s">
        <v>4203</v>
      </c>
      <c r="D157" s="237" t="s">
        <v>4204</v>
      </c>
      <c r="E157" s="237" t="s">
        <v>21</v>
      </c>
      <c r="F157" s="237" t="s">
        <v>21</v>
      </c>
      <c r="G157" s="237" t="s">
        <v>21</v>
      </c>
      <c r="H157" s="237" t="s">
        <v>4205</v>
      </c>
      <c r="I157" s="237" t="s">
        <v>21</v>
      </c>
      <c r="J157" s="237" t="s">
        <v>4206</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4207</v>
      </c>
      <c r="B158" s="237" t="s">
        <v>4208</v>
      </c>
      <c r="C158" s="237" t="s">
        <v>4209</v>
      </c>
      <c r="D158" s="237" t="s">
        <v>4210</v>
      </c>
      <c r="E158" s="237" t="s">
        <v>21</v>
      </c>
      <c r="F158" s="237" t="s">
        <v>21</v>
      </c>
      <c r="G158" s="237" t="s">
        <v>21</v>
      </c>
      <c r="H158" s="237" t="s">
        <v>21</v>
      </c>
      <c r="I158" s="237" t="s">
        <v>21</v>
      </c>
      <c r="J158" s="237" t="s">
        <v>4211</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4212</v>
      </c>
      <c r="B159" s="237" t="s">
        <v>4213</v>
      </c>
      <c r="C159" s="237" t="s">
        <v>4214</v>
      </c>
      <c r="D159" s="237" t="s">
        <v>4215</v>
      </c>
      <c r="E159" s="237" t="s">
        <v>21</v>
      </c>
      <c r="F159" s="237" t="s">
        <v>4216</v>
      </c>
      <c r="G159" s="237" t="s">
        <v>21</v>
      </c>
      <c r="H159" s="237" t="s">
        <v>4217</v>
      </c>
      <c r="I159" s="237" t="s">
        <v>4218</v>
      </c>
      <c r="J159" s="237" t="s">
        <v>4219</v>
      </c>
      <c r="K159" s="240">
        <f>IF(COUNTIF(L159:AY159,"&lt;&gt;")=0,"",SUMPRODUCT(((Recommendations[ImplStatus]="Implemented")+(Recommendations[ImplStatus]="Compensated"))*ISNUMBER(MATCH(Recommendations[Id],L159:AY159,0)))/COUNTIF(L159:AY159,"&lt;&gt;"))</f>
        <v>0</v>
      </c>
      <c r="L159" s="243" t="s">
        <v>89</v>
      </c>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898</v>
      </c>
      <c r="B160" s="236" t="s">
        <v>4220</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4221</v>
      </c>
      <c r="B161" s="237" t="s">
        <v>4222</v>
      </c>
      <c r="C161" s="237" t="s">
        <v>4223</v>
      </c>
      <c r="D161" s="237" t="s">
        <v>4224</v>
      </c>
      <c r="E161" s="237" t="s">
        <v>21</v>
      </c>
      <c r="F161" s="237" t="s">
        <v>21</v>
      </c>
      <c r="G161" s="237" t="s">
        <v>4225</v>
      </c>
      <c r="H161" s="237" t="s">
        <v>4226</v>
      </c>
      <c r="I161" s="237" t="s">
        <v>4227</v>
      </c>
      <c r="J161" s="237" t="s">
        <v>4228</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4229</v>
      </c>
      <c r="B162" s="237" t="s">
        <v>4230</v>
      </c>
      <c r="C162" s="237" t="s">
        <v>4231</v>
      </c>
      <c r="D162" s="237" t="s">
        <v>4232</v>
      </c>
      <c r="E162" s="237" t="s">
        <v>21</v>
      </c>
      <c r="F162" s="237" t="s">
        <v>21</v>
      </c>
      <c r="G162" s="237" t="s">
        <v>21</v>
      </c>
      <c r="H162" s="237" t="s">
        <v>4233</v>
      </c>
      <c r="I162" s="237" t="s">
        <v>21</v>
      </c>
      <c r="J162" s="237" t="s">
        <v>4234</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4235</v>
      </c>
      <c r="B163" s="237" t="s">
        <v>4236</v>
      </c>
      <c r="C163" s="237" t="s">
        <v>4237</v>
      </c>
      <c r="D163" s="237" t="s">
        <v>4232</v>
      </c>
      <c r="E163" s="237" t="s">
        <v>21</v>
      </c>
      <c r="F163" s="237" t="s">
        <v>4238</v>
      </c>
      <c r="G163" s="237" t="s">
        <v>21</v>
      </c>
      <c r="H163" s="237" t="s">
        <v>4239</v>
      </c>
      <c r="I163" s="237" t="s">
        <v>21</v>
      </c>
      <c r="J163" s="237" t="s">
        <v>4240</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4241</v>
      </c>
      <c r="B164" s="237" t="s">
        <v>4242</v>
      </c>
      <c r="C164" s="237" t="s">
        <v>4243</v>
      </c>
      <c r="D164" s="237" t="s">
        <v>4244</v>
      </c>
      <c r="E164" s="237" t="s">
        <v>21</v>
      </c>
      <c r="F164" s="237" t="s">
        <v>21</v>
      </c>
      <c r="G164" s="237" t="s">
        <v>21</v>
      </c>
      <c r="H164" s="237" t="s">
        <v>4245</v>
      </c>
      <c r="I164" s="237" t="s">
        <v>4246</v>
      </c>
      <c r="J164" s="237" t="s">
        <v>4247</v>
      </c>
      <c r="K164" s="240">
        <f>IF(COUNTIF(L164:AY164,"&lt;&gt;")=0,"",SUMPRODUCT(((Recommendations[ImplStatus]="Implemented")+(Recommendations[ImplStatus]="Compensated"))*ISNUMBER(MATCH(Recommendations[Id],L164:AY164,0)))/COUNTIF(L164:AY164,"&lt;&gt;"))</f>
        <v>0</v>
      </c>
      <c r="L164" s="243" t="s">
        <v>31</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4248</v>
      </c>
      <c r="B165" s="237" t="s">
        <v>4249</v>
      </c>
      <c r="C165" s="237" t="s">
        <v>4250</v>
      </c>
      <c r="D165" s="237" t="s">
        <v>21</v>
      </c>
      <c r="E165" s="237" t="s">
        <v>21</v>
      </c>
      <c r="F165" s="237" t="s">
        <v>21</v>
      </c>
      <c r="G165" s="237" t="s">
        <v>21</v>
      </c>
      <c r="H165" s="237" t="s">
        <v>4251</v>
      </c>
      <c r="I165" s="237" t="s">
        <v>21</v>
      </c>
      <c r="J165" s="237" t="s">
        <v>4252</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4253</v>
      </c>
      <c r="B166" s="237" t="s">
        <v>4254</v>
      </c>
      <c r="C166" s="237" t="s">
        <v>4255</v>
      </c>
      <c r="D166" s="237" t="s">
        <v>4256</v>
      </c>
      <c r="E166" s="237" t="s">
        <v>21</v>
      </c>
      <c r="F166" s="237" t="s">
        <v>21</v>
      </c>
      <c r="G166" s="237" t="s">
        <v>21</v>
      </c>
      <c r="H166" s="237" t="s">
        <v>4257</v>
      </c>
      <c r="I166" s="237" t="s">
        <v>4258</v>
      </c>
      <c r="J166" s="237" t="s">
        <v>4259</v>
      </c>
      <c r="K166" s="240">
        <f>IF(COUNTIF(L166:AY166,"&lt;&gt;")=0,"",SUMPRODUCT(((Recommendations[ImplStatus]="Implemented")+(Recommendations[ImplStatus]="Compensated"))*ISNUMBER(MATCH(Recommendations[Id],L166:AY166,0)))/COUNTIF(L166:AY166,"&lt;&gt;"))</f>
        <v>0</v>
      </c>
      <c r="L166" s="243" t="s">
        <v>61</v>
      </c>
      <c r="M166" s="243" t="s">
        <v>66</v>
      </c>
      <c r="N166" s="243" t="s">
        <v>71</v>
      </c>
      <c r="O166" s="243" t="s">
        <v>76</v>
      </c>
      <c r="P166" s="243" t="s">
        <v>80</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4260</v>
      </c>
      <c r="B167" s="237" t="s">
        <v>4261</v>
      </c>
      <c r="C167" s="237" t="s">
        <v>4262</v>
      </c>
      <c r="D167" s="237" t="s">
        <v>21</v>
      </c>
      <c r="E167" s="237" t="s">
        <v>21</v>
      </c>
      <c r="F167" s="237" t="s">
        <v>21</v>
      </c>
      <c r="G167" s="237" t="s">
        <v>21</v>
      </c>
      <c r="H167" s="237" t="s">
        <v>4263</v>
      </c>
      <c r="I167" s="237" t="s">
        <v>4264</v>
      </c>
      <c r="J167" s="237" t="s">
        <v>4265</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4266</v>
      </c>
      <c r="B168" s="237" t="s">
        <v>4267</v>
      </c>
      <c r="C168" s="237" t="s">
        <v>4268</v>
      </c>
      <c r="D168" s="237" t="s">
        <v>4269</v>
      </c>
      <c r="E168" s="237" t="s">
        <v>21</v>
      </c>
      <c r="F168" s="237" t="s">
        <v>21</v>
      </c>
      <c r="G168" s="237" t="s">
        <v>21</v>
      </c>
      <c r="H168" s="237" t="s">
        <v>4270</v>
      </c>
      <c r="I168" s="237" t="s">
        <v>21</v>
      </c>
      <c r="J168" s="237" t="s">
        <v>4271</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4272</v>
      </c>
      <c r="B169" s="237" t="s">
        <v>4273</v>
      </c>
      <c r="C169" s="237" t="s">
        <v>4274</v>
      </c>
      <c r="D169" s="237" t="s">
        <v>4275</v>
      </c>
      <c r="E169" s="237" t="s">
        <v>21</v>
      </c>
      <c r="F169" s="237" t="s">
        <v>21</v>
      </c>
      <c r="G169" s="237" t="s">
        <v>4276</v>
      </c>
      <c r="H169" s="237" t="s">
        <v>4277</v>
      </c>
      <c r="I169" s="237" t="s">
        <v>4278</v>
      </c>
      <c r="J169" s="237" t="s">
        <v>4279</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4280</v>
      </c>
      <c r="B170" s="237" t="s">
        <v>4281</v>
      </c>
      <c r="C170" s="237" t="s">
        <v>4282</v>
      </c>
      <c r="D170" s="237" t="s">
        <v>4283</v>
      </c>
      <c r="E170" s="237" t="s">
        <v>21</v>
      </c>
      <c r="F170" s="237" t="s">
        <v>21</v>
      </c>
      <c r="G170" s="237" t="s">
        <v>21</v>
      </c>
      <c r="H170" s="237" t="s">
        <v>4284</v>
      </c>
      <c r="I170" s="237" t="s">
        <v>4285</v>
      </c>
      <c r="J170" s="237" t="s">
        <v>4286</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4287</v>
      </c>
      <c r="B171" s="237" t="s">
        <v>4288</v>
      </c>
      <c r="C171" s="237" t="s">
        <v>4282</v>
      </c>
      <c r="D171" s="237" t="s">
        <v>4289</v>
      </c>
      <c r="E171" s="237" t="s">
        <v>21</v>
      </c>
      <c r="F171" s="237" t="s">
        <v>21</v>
      </c>
      <c r="G171" s="237" t="s">
        <v>4290</v>
      </c>
      <c r="H171" s="237" t="s">
        <v>4284</v>
      </c>
      <c r="I171" s="237" t="s">
        <v>4291</v>
      </c>
      <c r="J171" s="237" t="s">
        <v>4292</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4293</v>
      </c>
      <c r="B172" s="237" t="s">
        <v>4294</v>
      </c>
      <c r="C172" s="237" t="s">
        <v>4295</v>
      </c>
      <c r="D172" s="237" t="s">
        <v>4296</v>
      </c>
      <c r="E172" s="237" t="s">
        <v>21</v>
      </c>
      <c r="F172" s="237" t="s">
        <v>21</v>
      </c>
      <c r="G172" s="237" t="s">
        <v>21</v>
      </c>
      <c r="H172" s="237" t="s">
        <v>4297</v>
      </c>
      <c r="I172" s="237" t="s">
        <v>21</v>
      </c>
      <c r="J172" s="237" t="s">
        <v>4298</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902</v>
      </c>
      <c r="B173" s="236" t="s">
        <v>4299</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4300</v>
      </c>
      <c r="B174" s="237" t="s">
        <v>4301</v>
      </c>
      <c r="C174" s="237" t="s">
        <v>4302</v>
      </c>
      <c r="D174" s="237" t="s">
        <v>4303</v>
      </c>
      <c r="E174" s="237" t="s">
        <v>4304</v>
      </c>
      <c r="F174" s="237" t="s">
        <v>21</v>
      </c>
      <c r="G174" s="237" t="s">
        <v>21</v>
      </c>
      <c r="H174" s="237" t="s">
        <v>4305</v>
      </c>
      <c r="I174" s="237" t="s">
        <v>4306</v>
      </c>
      <c r="J174" s="237" t="s">
        <v>4307</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4308</v>
      </c>
      <c r="B175" s="237" t="s">
        <v>4309</v>
      </c>
      <c r="C175" s="237" t="s">
        <v>4310</v>
      </c>
      <c r="D175" s="237" t="s">
        <v>21</v>
      </c>
      <c r="E175" s="237" t="s">
        <v>4311</v>
      </c>
      <c r="F175" s="237" t="s">
        <v>21</v>
      </c>
      <c r="G175" s="237" t="s">
        <v>21</v>
      </c>
      <c r="H175" s="237" t="s">
        <v>4312</v>
      </c>
      <c r="I175" s="237" t="s">
        <v>21</v>
      </c>
      <c r="J175" s="237" t="s">
        <v>4313</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4314</v>
      </c>
      <c r="B176" s="237" t="s">
        <v>4315</v>
      </c>
      <c r="C176" s="237" t="s">
        <v>4316</v>
      </c>
      <c r="D176" s="237" t="s">
        <v>21</v>
      </c>
      <c r="E176" s="237" t="s">
        <v>4317</v>
      </c>
      <c r="F176" s="237" t="s">
        <v>21</v>
      </c>
      <c r="G176" s="237" t="s">
        <v>21</v>
      </c>
      <c r="H176" s="237" t="s">
        <v>4318</v>
      </c>
      <c r="I176" s="237" t="s">
        <v>4319</v>
      </c>
      <c r="J176" s="237" t="s">
        <v>4320</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907</v>
      </c>
      <c r="B177" s="236" t="s">
        <v>4321</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4322</v>
      </c>
      <c r="B178" s="237" t="s">
        <v>4323</v>
      </c>
      <c r="C178" s="237" t="s">
        <v>4324</v>
      </c>
      <c r="D178" s="237" t="s">
        <v>4325</v>
      </c>
      <c r="E178" s="237" t="s">
        <v>4326</v>
      </c>
      <c r="F178" s="237" t="s">
        <v>4327</v>
      </c>
      <c r="G178" s="237" t="s">
        <v>21</v>
      </c>
      <c r="H178" s="237" t="s">
        <v>4328</v>
      </c>
      <c r="I178" s="237" t="s">
        <v>4329</v>
      </c>
      <c r="J178" s="237" t="s">
        <v>4330</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911</v>
      </c>
      <c r="B179" s="236" t="s">
        <v>4331</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4332</v>
      </c>
      <c r="B180" s="237" t="s">
        <v>4333</v>
      </c>
      <c r="C180" s="237" t="s">
        <v>4334</v>
      </c>
      <c r="D180" s="237" t="s">
        <v>4325</v>
      </c>
      <c r="E180" s="237" t="s">
        <v>4335</v>
      </c>
      <c r="F180" s="237" t="s">
        <v>21</v>
      </c>
      <c r="G180" s="237" t="s">
        <v>21</v>
      </c>
      <c r="H180" s="237" t="s">
        <v>4336</v>
      </c>
      <c r="I180" s="237" t="s">
        <v>3848</v>
      </c>
      <c r="J180" s="237" t="s">
        <v>4337</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4338</v>
      </c>
      <c r="B181" s="237" t="s">
        <v>4339</v>
      </c>
      <c r="C181" s="237" t="s">
        <v>4340</v>
      </c>
      <c r="D181" s="237" t="s">
        <v>4341</v>
      </c>
      <c r="E181" s="237" t="s">
        <v>21</v>
      </c>
      <c r="F181" s="237" t="s">
        <v>21</v>
      </c>
      <c r="G181" s="237" t="s">
        <v>21</v>
      </c>
      <c r="H181" s="237" t="s">
        <v>4342</v>
      </c>
      <c r="I181" s="237" t="s">
        <v>4343</v>
      </c>
      <c r="J181" s="237" t="s">
        <v>4344</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4345</v>
      </c>
      <c r="B182" s="237" t="s">
        <v>4346</v>
      </c>
      <c r="C182" s="237" t="s">
        <v>4347</v>
      </c>
      <c r="D182" s="237" t="s">
        <v>4348</v>
      </c>
      <c r="E182" s="237" t="s">
        <v>21</v>
      </c>
      <c r="F182" s="237" t="s">
        <v>21</v>
      </c>
      <c r="G182" s="237" t="s">
        <v>21</v>
      </c>
      <c r="H182" s="237" t="s">
        <v>4349</v>
      </c>
      <c r="I182" s="237" t="s">
        <v>3848</v>
      </c>
      <c r="J182" s="237" t="s">
        <v>4350</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4351</v>
      </c>
      <c r="B183" s="235" t="s">
        <v>4352</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941</v>
      </c>
      <c r="B184" s="236" t="s">
        <v>4353</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4354</v>
      </c>
      <c r="B185" s="237" t="s">
        <v>4355</v>
      </c>
      <c r="C185" s="237" t="s">
        <v>4356</v>
      </c>
      <c r="D185" s="237" t="s">
        <v>3620</v>
      </c>
      <c r="E185" s="237" t="s">
        <v>4357</v>
      </c>
      <c r="F185" s="237" t="s">
        <v>21</v>
      </c>
      <c r="G185" s="237" t="s">
        <v>21</v>
      </c>
      <c r="H185" s="237" t="s">
        <v>4358</v>
      </c>
      <c r="I185" s="237" t="s">
        <v>21</v>
      </c>
      <c r="J185" s="237" t="s">
        <v>4359</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4360</v>
      </c>
      <c r="B186" s="237" t="s">
        <v>4361</v>
      </c>
      <c r="C186" s="237" t="s">
        <v>3625</v>
      </c>
      <c r="D186" s="237" t="s">
        <v>4362</v>
      </c>
      <c r="E186" s="237" t="s">
        <v>21</v>
      </c>
      <c r="F186" s="237" t="s">
        <v>21</v>
      </c>
      <c r="G186" s="237" t="s">
        <v>21</v>
      </c>
      <c r="H186" s="237" t="s">
        <v>4363</v>
      </c>
      <c r="I186" s="237" t="s">
        <v>21</v>
      </c>
      <c r="J186" s="237" t="s">
        <v>4364</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945</v>
      </c>
      <c r="B187" s="236" t="s">
        <v>4365</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4366</v>
      </c>
      <c r="B188" s="237" t="s">
        <v>4367</v>
      </c>
      <c r="C188" s="237" t="s">
        <v>4368</v>
      </c>
      <c r="D188" s="237" t="s">
        <v>4369</v>
      </c>
      <c r="E188" s="237" t="s">
        <v>21</v>
      </c>
      <c r="F188" s="237" t="s">
        <v>4370</v>
      </c>
      <c r="G188" s="237" t="s">
        <v>21</v>
      </c>
      <c r="H188" s="237" t="s">
        <v>4371</v>
      </c>
      <c r="I188" s="237" t="s">
        <v>4372</v>
      </c>
      <c r="J188" s="237" t="s">
        <v>4373</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4374</v>
      </c>
      <c r="B189" s="237" t="s">
        <v>4375</v>
      </c>
      <c r="C189" s="237" t="s">
        <v>4376</v>
      </c>
      <c r="D189" s="237" t="s">
        <v>4377</v>
      </c>
      <c r="E189" s="237" t="s">
        <v>21</v>
      </c>
      <c r="F189" s="237" t="s">
        <v>21</v>
      </c>
      <c r="G189" s="237" t="s">
        <v>21</v>
      </c>
      <c r="H189" s="237" t="s">
        <v>4378</v>
      </c>
      <c r="I189" s="237" t="s">
        <v>21</v>
      </c>
      <c r="J189" s="237" t="s">
        <v>4379</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4380</v>
      </c>
      <c r="B190" s="237" t="s">
        <v>4381</v>
      </c>
      <c r="C190" s="237" t="s">
        <v>4382</v>
      </c>
      <c r="D190" s="237" t="s">
        <v>4383</v>
      </c>
      <c r="E190" s="237" t="s">
        <v>21</v>
      </c>
      <c r="F190" s="237" t="s">
        <v>4384</v>
      </c>
      <c r="G190" s="237" t="s">
        <v>21</v>
      </c>
      <c r="H190" s="237" t="s">
        <v>4385</v>
      </c>
      <c r="I190" s="237" t="s">
        <v>21</v>
      </c>
      <c r="J190" s="237" t="s">
        <v>4386</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4387</v>
      </c>
      <c r="B191" s="237" t="s">
        <v>4388</v>
      </c>
      <c r="C191" s="237" t="s">
        <v>4389</v>
      </c>
      <c r="D191" s="237" t="s">
        <v>21</v>
      </c>
      <c r="E191" s="237" t="s">
        <v>21</v>
      </c>
      <c r="F191" s="237" t="s">
        <v>21</v>
      </c>
      <c r="G191" s="237" t="s">
        <v>21</v>
      </c>
      <c r="H191" s="237" t="s">
        <v>4390</v>
      </c>
      <c r="I191" s="237" t="s">
        <v>21</v>
      </c>
      <c r="J191" s="237" t="s">
        <v>4391</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4392</v>
      </c>
      <c r="B192" s="237" t="s">
        <v>4393</v>
      </c>
      <c r="C192" s="237" t="s">
        <v>4394</v>
      </c>
      <c r="D192" s="237" t="s">
        <v>4395</v>
      </c>
      <c r="E192" s="237" t="s">
        <v>4396</v>
      </c>
      <c r="F192" s="237" t="s">
        <v>21</v>
      </c>
      <c r="G192" s="237" t="s">
        <v>21</v>
      </c>
      <c r="H192" s="237" t="s">
        <v>4397</v>
      </c>
      <c r="I192" s="237" t="s">
        <v>21</v>
      </c>
      <c r="J192" s="237" t="s">
        <v>4398</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949</v>
      </c>
      <c r="B193" s="236" t="s">
        <v>4399</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4400</v>
      </c>
      <c r="B194" s="237" t="s">
        <v>4401</v>
      </c>
      <c r="C194" s="237" t="s">
        <v>4402</v>
      </c>
      <c r="D194" s="237" t="s">
        <v>4395</v>
      </c>
      <c r="E194" s="237" t="s">
        <v>4396</v>
      </c>
      <c r="F194" s="237" t="s">
        <v>4403</v>
      </c>
      <c r="G194" s="237" t="s">
        <v>21</v>
      </c>
      <c r="H194" s="237" t="s">
        <v>4404</v>
      </c>
      <c r="I194" s="237" t="s">
        <v>21</v>
      </c>
      <c r="J194" s="237" t="s">
        <v>4405</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4406</v>
      </c>
      <c r="B195" s="237" t="s">
        <v>4407</v>
      </c>
      <c r="C195" s="237" t="s">
        <v>4408</v>
      </c>
      <c r="D195" s="237" t="s">
        <v>4409</v>
      </c>
      <c r="E195" s="237" t="s">
        <v>21</v>
      </c>
      <c r="F195" s="237" t="s">
        <v>21</v>
      </c>
      <c r="G195" s="237" t="s">
        <v>21</v>
      </c>
      <c r="H195" s="237" t="s">
        <v>4410</v>
      </c>
      <c r="I195" s="237" t="s">
        <v>21</v>
      </c>
      <c r="J195" s="237" t="s">
        <v>4411</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4412</v>
      </c>
      <c r="B196" s="237" t="s">
        <v>4413</v>
      </c>
      <c r="C196" s="237" t="s">
        <v>4414</v>
      </c>
      <c r="D196" s="237" t="s">
        <v>21</v>
      </c>
      <c r="E196" s="237" t="s">
        <v>4415</v>
      </c>
      <c r="F196" s="237" t="s">
        <v>21</v>
      </c>
      <c r="G196" s="237" t="s">
        <v>21</v>
      </c>
      <c r="H196" s="237" t="s">
        <v>4416</v>
      </c>
      <c r="I196" s="237" t="s">
        <v>21</v>
      </c>
      <c r="J196" s="237" t="s">
        <v>4417</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4418</v>
      </c>
      <c r="B197" s="237" t="s">
        <v>4419</v>
      </c>
      <c r="C197" s="237" t="s">
        <v>4420</v>
      </c>
      <c r="D197" s="237" t="s">
        <v>21</v>
      </c>
      <c r="E197" s="237" t="s">
        <v>21</v>
      </c>
      <c r="F197" s="237" t="s">
        <v>21</v>
      </c>
      <c r="G197" s="237" t="s">
        <v>21</v>
      </c>
      <c r="H197" s="237" t="s">
        <v>4421</v>
      </c>
      <c r="I197" s="237" t="s">
        <v>21</v>
      </c>
      <c r="J197" s="237" t="s">
        <v>4422</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4423</v>
      </c>
      <c r="B198" s="237" t="s">
        <v>4424</v>
      </c>
      <c r="C198" s="237" t="s">
        <v>4425</v>
      </c>
      <c r="D198" s="237" t="s">
        <v>4426</v>
      </c>
      <c r="E198" s="237" t="s">
        <v>21</v>
      </c>
      <c r="F198" s="237" t="s">
        <v>21</v>
      </c>
      <c r="G198" s="237" t="s">
        <v>21</v>
      </c>
      <c r="H198" s="237" t="s">
        <v>4427</v>
      </c>
      <c r="I198" s="237" t="s">
        <v>21</v>
      </c>
      <c r="J198" s="237" t="s">
        <v>4428</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953</v>
      </c>
      <c r="B199" s="236" t="s">
        <v>4429</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4430</v>
      </c>
      <c r="B200" s="237" t="s">
        <v>4431</v>
      </c>
      <c r="C200" s="237" t="s">
        <v>4432</v>
      </c>
      <c r="D200" s="237" t="s">
        <v>21</v>
      </c>
      <c r="E200" s="237" t="s">
        <v>21</v>
      </c>
      <c r="F200" s="237" t="s">
        <v>21</v>
      </c>
      <c r="G200" s="237" t="s">
        <v>21</v>
      </c>
      <c r="H200" s="237" t="s">
        <v>4433</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4434</v>
      </c>
      <c r="B201" s="237" t="s">
        <v>4435</v>
      </c>
      <c r="C201" s="237" t="s">
        <v>4436</v>
      </c>
      <c r="D201" s="237" t="s">
        <v>4437</v>
      </c>
      <c r="E201" s="237" t="s">
        <v>21</v>
      </c>
      <c r="F201" s="237" t="s">
        <v>21</v>
      </c>
      <c r="G201" s="237" t="s">
        <v>21</v>
      </c>
      <c r="H201" s="237" t="s">
        <v>4438</v>
      </c>
      <c r="I201" s="237" t="s">
        <v>21</v>
      </c>
      <c r="J201" s="237" t="s">
        <v>4439</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4440</v>
      </c>
      <c r="B202" s="237" t="s">
        <v>4441</v>
      </c>
      <c r="C202" s="237" t="s">
        <v>4442</v>
      </c>
      <c r="D202" s="237" t="s">
        <v>21</v>
      </c>
      <c r="E202" s="237" t="s">
        <v>21</v>
      </c>
      <c r="F202" s="237" t="s">
        <v>21</v>
      </c>
      <c r="G202" s="237" t="s">
        <v>21</v>
      </c>
      <c r="H202" s="237" t="s">
        <v>4443</v>
      </c>
      <c r="I202" s="237" t="s">
        <v>21</v>
      </c>
      <c r="J202" s="237" t="s">
        <v>4444</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4445</v>
      </c>
      <c r="B203" s="237" t="s">
        <v>4446</v>
      </c>
      <c r="C203" s="237" t="s">
        <v>4447</v>
      </c>
      <c r="D203" s="237" t="s">
        <v>4448</v>
      </c>
      <c r="E203" s="237" t="s">
        <v>21</v>
      </c>
      <c r="F203" s="237" t="s">
        <v>21</v>
      </c>
      <c r="G203" s="237" t="s">
        <v>21</v>
      </c>
      <c r="H203" s="237" t="s">
        <v>4449</v>
      </c>
      <c r="I203" s="237" t="s">
        <v>21</v>
      </c>
      <c r="J203" s="237" t="s">
        <v>4450</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4451</v>
      </c>
      <c r="B204" s="237" t="s">
        <v>4452</v>
      </c>
      <c r="C204" s="237" t="s">
        <v>4453</v>
      </c>
      <c r="D204" s="237" t="s">
        <v>21</v>
      </c>
      <c r="E204" s="237" t="s">
        <v>21</v>
      </c>
      <c r="F204" s="237" t="s">
        <v>21</v>
      </c>
      <c r="G204" s="237" t="s">
        <v>21</v>
      </c>
      <c r="H204" s="237" t="s">
        <v>4454</v>
      </c>
      <c r="I204" s="237" t="s">
        <v>21</v>
      </c>
      <c r="J204" s="237" t="s">
        <v>4455</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4456</v>
      </c>
      <c r="B205" s="237" t="s">
        <v>4457</v>
      </c>
      <c r="C205" s="237" t="s">
        <v>4458</v>
      </c>
      <c r="D205" s="237" t="s">
        <v>21</v>
      </c>
      <c r="E205" s="237" t="s">
        <v>21</v>
      </c>
      <c r="F205" s="237" t="s">
        <v>21</v>
      </c>
      <c r="G205" s="237" t="s">
        <v>21</v>
      </c>
      <c r="H205" s="237" t="s">
        <v>4459</v>
      </c>
      <c r="I205" s="237" t="s">
        <v>4460</v>
      </c>
      <c r="J205" s="237" t="s">
        <v>4461</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4462</v>
      </c>
      <c r="B206" s="237" t="s">
        <v>4463</v>
      </c>
      <c r="C206" s="237" t="s">
        <v>4464</v>
      </c>
      <c r="D206" s="237" t="s">
        <v>21</v>
      </c>
      <c r="E206" s="237" t="s">
        <v>21</v>
      </c>
      <c r="F206" s="237" t="s">
        <v>21</v>
      </c>
      <c r="G206" s="237" t="s">
        <v>21</v>
      </c>
      <c r="H206" s="237" t="s">
        <v>4465</v>
      </c>
      <c r="I206" s="237" t="s">
        <v>21</v>
      </c>
      <c r="J206" s="237" t="s">
        <v>4466</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4467</v>
      </c>
      <c r="B207" s="237" t="s">
        <v>4468</v>
      </c>
      <c r="C207" s="237" t="s">
        <v>4464</v>
      </c>
      <c r="D207" s="237" t="s">
        <v>4469</v>
      </c>
      <c r="E207" s="237" t="s">
        <v>21</v>
      </c>
      <c r="F207" s="237" t="s">
        <v>21</v>
      </c>
      <c r="G207" s="237" t="s">
        <v>21</v>
      </c>
      <c r="H207" s="237" t="s">
        <v>4470</v>
      </c>
      <c r="I207" s="237" t="s">
        <v>21</v>
      </c>
      <c r="J207" s="237" t="s">
        <v>4471</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4472</v>
      </c>
      <c r="B208" s="237" t="s">
        <v>4473</v>
      </c>
      <c r="C208" s="237" t="s">
        <v>4474</v>
      </c>
      <c r="D208" s="237" t="s">
        <v>4469</v>
      </c>
      <c r="E208" s="237" t="s">
        <v>21</v>
      </c>
      <c r="F208" s="237" t="s">
        <v>4475</v>
      </c>
      <c r="G208" s="237" t="s">
        <v>4476</v>
      </c>
      <c r="H208" s="237" t="s">
        <v>4477</v>
      </c>
      <c r="I208" s="237" t="s">
        <v>4478</v>
      </c>
      <c r="J208" s="237" t="s">
        <v>4479</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4480</v>
      </c>
      <c r="B209" s="237" t="s">
        <v>4481</v>
      </c>
      <c r="C209" s="237" t="s">
        <v>4482</v>
      </c>
      <c r="D209" s="237" t="s">
        <v>4483</v>
      </c>
      <c r="E209" s="237" t="s">
        <v>21</v>
      </c>
      <c r="F209" s="237" t="s">
        <v>4475</v>
      </c>
      <c r="G209" s="237" t="s">
        <v>4484</v>
      </c>
      <c r="H209" s="237" t="s">
        <v>4485</v>
      </c>
      <c r="I209" s="237" t="s">
        <v>4478</v>
      </c>
      <c r="J209" s="237" t="s">
        <v>4486</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957</v>
      </c>
      <c r="B210" s="236" t="s">
        <v>4487</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4488</v>
      </c>
      <c r="B211" s="237" t="s">
        <v>4489</v>
      </c>
      <c r="C211" s="237" t="s">
        <v>4490</v>
      </c>
      <c r="D211" s="237" t="s">
        <v>4491</v>
      </c>
      <c r="E211" s="237" t="s">
        <v>21</v>
      </c>
      <c r="F211" s="237" t="s">
        <v>21</v>
      </c>
      <c r="G211" s="237" t="s">
        <v>4492</v>
      </c>
      <c r="H211" s="237" t="s">
        <v>4493</v>
      </c>
      <c r="I211" s="237" t="s">
        <v>4494</v>
      </c>
      <c r="J211" s="237" t="s">
        <v>4495</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4496</v>
      </c>
      <c r="B212" s="237" t="s">
        <v>4497</v>
      </c>
      <c r="C212" s="237" t="s">
        <v>4498</v>
      </c>
      <c r="D212" s="237" t="s">
        <v>4499</v>
      </c>
      <c r="E212" s="237" t="s">
        <v>21</v>
      </c>
      <c r="F212" s="237" t="s">
        <v>4500</v>
      </c>
      <c r="G212" s="237" t="s">
        <v>21</v>
      </c>
      <c r="H212" s="237" t="s">
        <v>21</v>
      </c>
      <c r="I212" s="237" t="s">
        <v>21</v>
      </c>
      <c r="J212" s="237" t="s">
        <v>4501</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4502</v>
      </c>
      <c r="B213" s="237" t="s">
        <v>4503</v>
      </c>
      <c r="C213" s="237" t="s">
        <v>4504</v>
      </c>
      <c r="D213" s="237" t="s">
        <v>4505</v>
      </c>
      <c r="E213" s="237" t="s">
        <v>21</v>
      </c>
      <c r="F213" s="237" t="s">
        <v>4506</v>
      </c>
      <c r="G213" s="237" t="s">
        <v>21</v>
      </c>
      <c r="H213" s="237" t="s">
        <v>4507</v>
      </c>
      <c r="I213" s="237" t="s">
        <v>21</v>
      </c>
      <c r="J213" s="237" t="s">
        <v>4508</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4509</v>
      </c>
      <c r="B214" s="237" t="s">
        <v>4510</v>
      </c>
      <c r="C214" s="237" t="s">
        <v>4511</v>
      </c>
      <c r="D214" s="237" t="s">
        <v>4512</v>
      </c>
      <c r="E214" s="237" t="s">
        <v>21</v>
      </c>
      <c r="F214" s="237" t="s">
        <v>21</v>
      </c>
      <c r="G214" s="237" t="s">
        <v>21</v>
      </c>
      <c r="H214" s="237" t="s">
        <v>4513</v>
      </c>
      <c r="I214" s="237" t="s">
        <v>3848</v>
      </c>
      <c r="J214" s="237" t="s">
        <v>4514</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4515</v>
      </c>
      <c r="B215" s="237" t="s">
        <v>4516</v>
      </c>
      <c r="C215" s="237" t="s">
        <v>4517</v>
      </c>
      <c r="D215" s="237" t="s">
        <v>4518</v>
      </c>
      <c r="E215" s="237" t="s">
        <v>21</v>
      </c>
      <c r="F215" s="237" t="s">
        <v>21</v>
      </c>
      <c r="G215" s="237" t="s">
        <v>21</v>
      </c>
      <c r="H215" s="237" t="s">
        <v>4519</v>
      </c>
      <c r="I215" s="237" t="s">
        <v>21</v>
      </c>
      <c r="J215" s="237" t="s">
        <v>4520</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4521</v>
      </c>
      <c r="B216" s="235" t="s">
        <v>4522</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971</v>
      </c>
      <c r="B217" s="236" t="s">
        <v>4523</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4524</v>
      </c>
      <c r="B218" s="237" t="s">
        <v>4525</v>
      </c>
      <c r="C218" s="237" t="s">
        <v>4526</v>
      </c>
      <c r="D218" s="237" t="s">
        <v>3620</v>
      </c>
      <c r="E218" s="237" t="s">
        <v>3406</v>
      </c>
      <c r="F218" s="237" t="s">
        <v>21</v>
      </c>
      <c r="G218" s="237" t="s">
        <v>21</v>
      </c>
      <c r="H218" s="237" t="s">
        <v>4527</v>
      </c>
      <c r="I218" s="237" t="s">
        <v>21</v>
      </c>
      <c r="J218" s="237" t="s">
        <v>4528</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4529</v>
      </c>
      <c r="B219" s="237" t="s">
        <v>4530</v>
      </c>
      <c r="C219" s="237" t="s">
        <v>3411</v>
      </c>
      <c r="D219" s="237" t="s">
        <v>3412</v>
      </c>
      <c r="E219" s="237" t="s">
        <v>21</v>
      </c>
      <c r="F219" s="237" t="s">
        <v>3414</v>
      </c>
      <c r="G219" s="237" t="s">
        <v>21</v>
      </c>
      <c r="H219" s="237" t="s">
        <v>4531</v>
      </c>
      <c r="I219" s="237" t="s">
        <v>21</v>
      </c>
      <c r="J219" s="237" t="s">
        <v>4532</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975</v>
      </c>
      <c r="B220" s="236" t="s">
        <v>4533</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4534</v>
      </c>
      <c r="B221" s="237" t="s">
        <v>4535</v>
      </c>
      <c r="C221" s="237" t="s">
        <v>4536</v>
      </c>
      <c r="D221" s="237" t="s">
        <v>4537</v>
      </c>
      <c r="E221" s="237" t="s">
        <v>21</v>
      </c>
      <c r="F221" s="237" t="s">
        <v>21</v>
      </c>
      <c r="G221" s="237" t="s">
        <v>21</v>
      </c>
      <c r="H221" s="237" t="s">
        <v>4538</v>
      </c>
      <c r="I221" s="237" t="s">
        <v>21</v>
      </c>
      <c r="J221" s="237" t="s">
        <v>4539</v>
      </c>
      <c r="K221" s="240">
        <f>IF(COUNTIF(L221:AY221,"&lt;&gt;")=0,"",SUMPRODUCT(((Recommendations[ImplStatus]="Implemented")+(Recommendations[ImplStatus]="Compensated"))*ISNUMBER(MATCH(Recommendations[Id],L221:AY221,0)))/COUNTIF(L221:AY221,"&lt;&gt;"))</f>
        <v>0</v>
      </c>
      <c r="L221" s="243" t="s">
        <v>14</v>
      </c>
      <c r="M221" s="243" t="s">
        <v>109</v>
      </c>
      <c r="N221" s="243" t="s">
        <v>160</v>
      </c>
      <c r="O221" s="243" t="s">
        <v>260</v>
      </c>
      <c r="P221" s="243" t="s">
        <v>303</v>
      </c>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4540</v>
      </c>
      <c r="B222" s="237" t="s">
        <v>4541</v>
      </c>
      <c r="C222" s="237" t="s">
        <v>4542</v>
      </c>
      <c r="D222" s="237" t="s">
        <v>4543</v>
      </c>
      <c r="E222" s="237" t="s">
        <v>21</v>
      </c>
      <c r="F222" s="237" t="s">
        <v>21</v>
      </c>
      <c r="G222" s="237" t="s">
        <v>21</v>
      </c>
      <c r="H222" s="237" t="s">
        <v>4544</v>
      </c>
      <c r="I222" s="237" t="s">
        <v>21</v>
      </c>
      <c r="J222" s="237" t="s">
        <v>4545</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4546</v>
      </c>
      <c r="B223" s="237" t="s">
        <v>4547</v>
      </c>
      <c r="C223" s="237" t="s">
        <v>4548</v>
      </c>
      <c r="D223" s="237" t="s">
        <v>21</v>
      </c>
      <c r="E223" s="237" t="s">
        <v>4549</v>
      </c>
      <c r="F223" s="237" t="s">
        <v>21</v>
      </c>
      <c r="G223" s="237" t="s">
        <v>21</v>
      </c>
      <c r="H223" s="237" t="s">
        <v>4550</v>
      </c>
      <c r="I223" s="237" t="s">
        <v>21</v>
      </c>
      <c r="J223" s="237" t="s">
        <v>4551</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4552</v>
      </c>
      <c r="B224" s="237" t="s">
        <v>4553</v>
      </c>
      <c r="C224" s="237" t="s">
        <v>4554</v>
      </c>
      <c r="D224" s="237" t="s">
        <v>21</v>
      </c>
      <c r="E224" s="237" t="s">
        <v>21</v>
      </c>
      <c r="F224" s="237" t="s">
        <v>21</v>
      </c>
      <c r="G224" s="237" t="s">
        <v>21</v>
      </c>
      <c r="H224" s="237" t="s">
        <v>4555</v>
      </c>
      <c r="I224" s="237" t="s">
        <v>21</v>
      </c>
      <c r="J224" s="237" t="s">
        <v>4556</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4557</v>
      </c>
      <c r="B225" s="237" t="s">
        <v>4558</v>
      </c>
      <c r="C225" s="237" t="s">
        <v>4559</v>
      </c>
      <c r="D225" s="237" t="s">
        <v>21</v>
      </c>
      <c r="E225" s="237" t="s">
        <v>21</v>
      </c>
      <c r="F225" s="237" t="s">
        <v>21</v>
      </c>
      <c r="G225" s="237" t="s">
        <v>21</v>
      </c>
      <c r="H225" s="237" t="s">
        <v>4560</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4561</v>
      </c>
      <c r="B226" s="237" t="s">
        <v>4562</v>
      </c>
      <c r="C226" s="237" t="s">
        <v>4563</v>
      </c>
      <c r="D226" s="237" t="s">
        <v>21</v>
      </c>
      <c r="E226" s="237" t="s">
        <v>21</v>
      </c>
      <c r="F226" s="237" t="s">
        <v>21</v>
      </c>
      <c r="G226" s="237" t="s">
        <v>21</v>
      </c>
      <c r="H226" s="237" t="s">
        <v>4564</v>
      </c>
      <c r="I226" s="237" t="s">
        <v>21</v>
      </c>
      <c r="J226" s="237" t="s">
        <v>4565</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4566</v>
      </c>
      <c r="B227" s="237" t="s">
        <v>4567</v>
      </c>
      <c r="C227" s="237" t="s">
        <v>4568</v>
      </c>
      <c r="D227" s="237" t="s">
        <v>21</v>
      </c>
      <c r="E227" s="237" t="s">
        <v>21</v>
      </c>
      <c r="F227" s="237" t="s">
        <v>21</v>
      </c>
      <c r="G227" s="237" t="s">
        <v>21</v>
      </c>
      <c r="H227" s="237" t="s">
        <v>4569</v>
      </c>
      <c r="I227" s="237" t="s">
        <v>21</v>
      </c>
      <c r="J227" s="237" t="s">
        <v>4570</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4571</v>
      </c>
      <c r="B228" s="237" t="s">
        <v>4572</v>
      </c>
      <c r="C228" s="237" t="s">
        <v>4573</v>
      </c>
      <c r="D228" s="237" t="s">
        <v>21</v>
      </c>
      <c r="E228" s="237" t="s">
        <v>21</v>
      </c>
      <c r="F228" s="237" t="s">
        <v>21</v>
      </c>
      <c r="G228" s="237" t="s">
        <v>21</v>
      </c>
      <c r="H228" s="237" t="s">
        <v>4574</v>
      </c>
      <c r="I228" s="237" t="s">
        <v>21</v>
      </c>
      <c r="J228" s="237" t="s">
        <v>4575</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4576</v>
      </c>
      <c r="B229" s="237" t="s">
        <v>4577</v>
      </c>
      <c r="C229" s="237" t="s">
        <v>4578</v>
      </c>
      <c r="D229" s="237" t="s">
        <v>21</v>
      </c>
      <c r="E229" s="237" t="s">
        <v>21</v>
      </c>
      <c r="F229" s="237" t="s">
        <v>21</v>
      </c>
      <c r="G229" s="237" t="s">
        <v>21</v>
      </c>
      <c r="H229" s="237" t="s">
        <v>4579</v>
      </c>
      <c r="I229" s="237" t="s">
        <v>21</v>
      </c>
      <c r="J229" s="237" t="s">
        <v>4580</v>
      </c>
      <c r="K229" s="240">
        <f>IF(COUNTIF(L229:AY229,"&lt;&gt;")=0,"",SUMPRODUCT(((Recommendations[ImplStatus]="Implemented")+(Recommendations[ImplStatus]="Compensated"))*ISNUMBER(MATCH(Recommendations[Id],L229:AY229,0)))/COUNTIF(L229:AY229,"&lt;&gt;"))</f>
        <v>0</v>
      </c>
      <c r="L229" s="243" t="s">
        <v>160</v>
      </c>
      <c r="M229" s="243" t="s">
        <v>260</v>
      </c>
      <c r="N229" s="243" t="s">
        <v>303</v>
      </c>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979</v>
      </c>
      <c r="B230" s="236" t="s">
        <v>4581</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4582</v>
      </c>
      <c r="B231" s="237" t="s">
        <v>4583</v>
      </c>
      <c r="C231" s="237" t="s">
        <v>4584</v>
      </c>
      <c r="D231" s="237" t="s">
        <v>4585</v>
      </c>
      <c r="E231" s="237" t="s">
        <v>21</v>
      </c>
      <c r="F231" s="237" t="s">
        <v>21</v>
      </c>
      <c r="G231" s="237" t="s">
        <v>21</v>
      </c>
      <c r="H231" s="237" t="s">
        <v>4586</v>
      </c>
      <c r="I231" s="237" t="s">
        <v>21</v>
      </c>
      <c r="J231" s="237" t="s">
        <v>4587</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4588</v>
      </c>
      <c r="B232" s="237" t="s">
        <v>4589</v>
      </c>
      <c r="C232" s="237" t="s">
        <v>4590</v>
      </c>
      <c r="D232" s="237" t="s">
        <v>4591</v>
      </c>
      <c r="E232" s="237" t="s">
        <v>21</v>
      </c>
      <c r="F232" s="237" t="s">
        <v>21</v>
      </c>
      <c r="G232" s="237" t="s">
        <v>21</v>
      </c>
      <c r="H232" s="237" t="s">
        <v>4592</v>
      </c>
      <c r="I232" s="237" t="s">
        <v>21</v>
      </c>
      <c r="J232" s="237" t="s">
        <v>4593</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4594</v>
      </c>
      <c r="B233" s="237" t="s">
        <v>4595</v>
      </c>
      <c r="C233" s="237" t="s">
        <v>4596</v>
      </c>
      <c r="D233" s="237" t="s">
        <v>4597</v>
      </c>
      <c r="E233" s="237" t="s">
        <v>21</v>
      </c>
      <c r="F233" s="237" t="s">
        <v>21</v>
      </c>
      <c r="G233" s="237" t="s">
        <v>21</v>
      </c>
      <c r="H233" s="237" t="s">
        <v>4598</v>
      </c>
      <c r="I233" s="237" t="s">
        <v>21</v>
      </c>
      <c r="J233" s="237" t="s">
        <v>4599</v>
      </c>
      <c r="K233" s="240">
        <f>IF(COUNTIF(L233:AY233,"&lt;&gt;")=0,"",SUMPRODUCT(((Recommendations[ImplStatus]="Implemented")+(Recommendations[ImplStatus]="Compensated"))*ISNUMBER(MATCH(Recommendations[Id],L233:AY233,0)))/COUNTIF(L233:AY233,"&lt;&gt;"))</f>
        <v>0</v>
      </c>
      <c r="L233" s="243" t="s">
        <v>14</v>
      </c>
      <c r="M233" s="243" t="s">
        <v>109</v>
      </c>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4600</v>
      </c>
      <c r="B234" s="237" t="s">
        <v>4601</v>
      </c>
      <c r="C234" s="237" t="s">
        <v>4602</v>
      </c>
      <c r="D234" s="237" t="s">
        <v>4603</v>
      </c>
      <c r="E234" s="237" t="s">
        <v>21</v>
      </c>
      <c r="F234" s="237" t="s">
        <v>21</v>
      </c>
      <c r="G234" s="237" t="s">
        <v>21</v>
      </c>
      <c r="H234" s="237" t="s">
        <v>4604</v>
      </c>
      <c r="I234" s="237" t="s">
        <v>21</v>
      </c>
      <c r="J234" s="237" t="s">
        <v>4605</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983</v>
      </c>
      <c r="B235" s="236" t="s">
        <v>4606</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4607</v>
      </c>
      <c r="B236" s="237" t="s">
        <v>4608</v>
      </c>
      <c r="C236" s="237" t="s">
        <v>4609</v>
      </c>
      <c r="D236" s="237" t="s">
        <v>4610</v>
      </c>
      <c r="E236" s="237" t="s">
        <v>21</v>
      </c>
      <c r="F236" s="237" t="s">
        <v>21</v>
      </c>
      <c r="G236" s="237" t="s">
        <v>21</v>
      </c>
      <c r="H236" s="237" t="s">
        <v>4611</v>
      </c>
      <c r="I236" s="237" t="s">
        <v>21</v>
      </c>
      <c r="J236" s="237" t="s">
        <v>4612</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4613</v>
      </c>
      <c r="B237" s="237" t="s">
        <v>4614</v>
      </c>
      <c r="C237" s="237" t="s">
        <v>4615</v>
      </c>
      <c r="D237" s="237" t="s">
        <v>4616</v>
      </c>
      <c r="E237" s="237" t="s">
        <v>21</v>
      </c>
      <c r="F237" s="237" t="s">
        <v>21</v>
      </c>
      <c r="G237" s="237" t="s">
        <v>4617</v>
      </c>
      <c r="H237" s="237" t="s">
        <v>4618</v>
      </c>
      <c r="I237" s="237" t="s">
        <v>3848</v>
      </c>
      <c r="J237" s="237" t="s">
        <v>4619</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4620</v>
      </c>
      <c r="B238" s="237" t="s">
        <v>4621</v>
      </c>
      <c r="C238" s="237" t="s">
        <v>4622</v>
      </c>
      <c r="D238" s="237" t="s">
        <v>21</v>
      </c>
      <c r="E238" s="237" t="s">
        <v>21</v>
      </c>
      <c r="F238" s="237" t="s">
        <v>21</v>
      </c>
      <c r="G238" s="237" t="s">
        <v>21</v>
      </c>
      <c r="H238" s="237" t="s">
        <v>4623</v>
      </c>
      <c r="I238" s="237" t="s">
        <v>4624</v>
      </c>
      <c r="J238" s="237" t="s">
        <v>4625</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4626</v>
      </c>
      <c r="B239" s="237" t="s">
        <v>4627</v>
      </c>
      <c r="C239" s="237" t="s">
        <v>4628</v>
      </c>
      <c r="D239" s="237" t="s">
        <v>21</v>
      </c>
      <c r="E239" s="237" t="s">
        <v>21</v>
      </c>
      <c r="F239" s="237" t="s">
        <v>21</v>
      </c>
      <c r="G239" s="237" t="s">
        <v>21</v>
      </c>
      <c r="H239" s="237" t="s">
        <v>4629</v>
      </c>
      <c r="I239" s="237" t="s">
        <v>3848</v>
      </c>
      <c r="J239" s="237" t="s">
        <v>4630</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4631</v>
      </c>
      <c r="B240" s="237" t="s">
        <v>4632</v>
      </c>
      <c r="C240" s="237" t="s">
        <v>4633</v>
      </c>
      <c r="D240" s="237" t="s">
        <v>4634</v>
      </c>
      <c r="E240" s="237" t="s">
        <v>21</v>
      </c>
      <c r="F240" s="237" t="s">
        <v>21</v>
      </c>
      <c r="G240" s="237" t="s">
        <v>21</v>
      </c>
      <c r="H240" s="237" t="s">
        <v>4635</v>
      </c>
      <c r="I240" s="237" t="s">
        <v>21</v>
      </c>
      <c r="J240" s="237" t="s">
        <v>4636</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987</v>
      </c>
      <c r="B241" s="236" t="s">
        <v>4637</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4638</v>
      </c>
      <c r="B242" s="237" t="s">
        <v>4639</v>
      </c>
      <c r="C242" s="237" t="s">
        <v>4640</v>
      </c>
      <c r="D242" s="237" t="s">
        <v>21</v>
      </c>
      <c r="E242" s="237" t="s">
        <v>21</v>
      </c>
      <c r="F242" s="237" t="s">
        <v>4641</v>
      </c>
      <c r="G242" s="237" t="s">
        <v>21</v>
      </c>
      <c r="H242" s="237" t="s">
        <v>4642</v>
      </c>
      <c r="I242" s="237" t="s">
        <v>21</v>
      </c>
      <c r="J242" s="237" t="s">
        <v>4643</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991</v>
      </c>
      <c r="B243" s="236" t="s">
        <v>4644</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4645</v>
      </c>
      <c r="B244" s="237" t="s">
        <v>4646</v>
      </c>
      <c r="C244" s="237" t="s">
        <v>4647</v>
      </c>
      <c r="D244" s="237" t="s">
        <v>21</v>
      </c>
      <c r="E244" s="237" t="s">
        <v>21</v>
      </c>
      <c r="F244" s="237" t="s">
        <v>4648</v>
      </c>
      <c r="G244" s="237" t="s">
        <v>21</v>
      </c>
      <c r="H244" s="237" t="s">
        <v>4649</v>
      </c>
      <c r="I244" s="237" t="s">
        <v>4650</v>
      </c>
      <c r="J244" s="237" t="s">
        <v>4651</v>
      </c>
      <c r="K244" s="240">
        <f>IF(COUNTIF(L244:AY244,"&lt;&gt;")=0,"",SUMPRODUCT(((Recommendations[ImplStatus]="Implemented")+(Recommendations[ImplStatus]="Compensated"))*ISNUMBER(MATCH(Recommendations[Id],L244:AY244,0)))/COUNTIF(L244:AY244,"&lt;&gt;"))</f>
        <v>0</v>
      </c>
      <c r="L244" s="243" t="s">
        <v>94</v>
      </c>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4652</v>
      </c>
      <c r="B245" s="237" t="s">
        <v>4653</v>
      </c>
      <c r="C245" s="237" t="s">
        <v>4654</v>
      </c>
      <c r="D245" s="237" t="s">
        <v>4655</v>
      </c>
      <c r="E245" s="237" t="s">
        <v>21</v>
      </c>
      <c r="F245" s="237" t="s">
        <v>21</v>
      </c>
      <c r="G245" s="237" t="s">
        <v>21</v>
      </c>
      <c r="H245" s="237" t="s">
        <v>4656</v>
      </c>
      <c r="I245" s="237" t="s">
        <v>21</v>
      </c>
      <c r="J245" s="237" t="s">
        <v>4657</v>
      </c>
      <c r="K245" s="240">
        <f>IF(COUNTIF(L245:AY245,"&lt;&gt;")=0,"",SUMPRODUCT(((Recommendations[ImplStatus]="Implemented")+(Recommendations[ImplStatus]="Compensated"))*ISNUMBER(MATCH(Recommendations[Id],L245:AY245,0)))/COUNTIF(L245:AY245,"&lt;&gt;"))</f>
        <v>0</v>
      </c>
      <c r="L245" s="243" t="s">
        <v>94</v>
      </c>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4658</v>
      </c>
      <c r="B246" s="237" t="s">
        <v>4659</v>
      </c>
      <c r="C246" s="237" t="s">
        <v>4660</v>
      </c>
      <c r="D246" s="237" t="s">
        <v>21</v>
      </c>
      <c r="E246" s="237" t="s">
        <v>21</v>
      </c>
      <c r="F246" s="237" t="s">
        <v>21</v>
      </c>
      <c r="G246" s="237" t="s">
        <v>21</v>
      </c>
      <c r="H246" s="237" t="s">
        <v>4661</v>
      </c>
      <c r="I246" s="237" t="s">
        <v>21</v>
      </c>
      <c r="J246" s="237" t="s">
        <v>4662</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995</v>
      </c>
      <c r="B247" s="236" t="s">
        <v>4663</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4664</v>
      </c>
      <c r="B248" s="237" t="s">
        <v>4665</v>
      </c>
      <c r="C248" s="237" t="s">
        <v>4666</v>
      </c>
      <c r="D248" s="237" t="s">
        <v>4667</v>
      </c>
      <c r="E248" s="237" t="s">
        <v>21</v>
      </c>
      <c r="F248" s="237" t="s">
        <v>21</v>
      </c>
      <c r="G248" s="237" t="s">
        <v>21</v>
      </c>
      <c r="H248" s="237" t="s">
        <v>4668</v>
      </c>
      <c r="I248" s="237" t="s">
        <v>4669</v>
      </c>
      <c r="J248" s="237" t="s">
        <v>4670</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4671</v>
      </c>
      <c r="B249" s="237" t="s">
        <v>4672</v>
      </c>
      <c r="C249" s="237" t="s">
        <v>4666</v>
      </c>
      <c r="D249" s="237" t="s">
        <v>4673</v>
      </c>
      <c r="E249" s="237" t="s">
        <v>21</v>
      </c>
      <c r="F249" s="237" t="s">
        <v>21</v>
      </c>
      <c r="G249" s="237" t="s">
        <v>21</v>
      </c>
      <c r="H249" s="237" t="s">
        <v>4668</v>
      </c>
      <c r="I249" s="237" t="s">
        <v>4674</v>
      </c>
      <c r="J249" s="237" t="s">
        <v>4675</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4676</v>
      </c>
      <c r="B250" s="237" t="s">
        <v>4677</v>
      </c>
      <c r="C250" s="237" t="s">
        <v>4678</v>
      </c>
      <c r="D250" s="237" t="s">
        <v>4679</v>
      </c>
      <c r="E250" s="237" t="s">
        <v>21</v>
      </c>
      <c r="F250" s="237" t="s">
        <v>21</v>
      </c>
      <c r="G250" s="237" t="s">
        <v>21</v>
      </c>
      <c r="H250" s="237" t="s">
        <v>4680</v>
      </c>
      <c r="I250" s="237" t="s">
        <v>21</v>
      </c>
      <c r="J250" s="237" t="s">
        <v>4681</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4682</v>
      </c>
      <c r="B251" s="235" t="s">
        <v>4683</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1001</v>
      </c>
      <c r="B252" s="236" t="s">
        <v>4684</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4685</v>
      </c>
      <c r="B253" s="237" t="s">
        <v>4686</v>
      </c>
      <c r="C253" s="237" t="s">
        <v>4687</v>
      </c>
      <c r="D253" s="237" t="s">
        <v>3620</v>
      </c>
      <c r="E253" s="237" t="s">
        <v>3406</v>
      </c>
      <c r="F253" s="237" t="s">
        <v>21</v>
      </c>
      <c r="G253" s="237" t="s">
        <v>21</v>
      </c>
      <c r="H253" s="237" t="s">
        <v>4688</v>
      </c>
      <c r="I253" s="237" t="s">
        <v>21</v>
      </c>
      <c r="J253" s="237" t="s">
        <v>4689</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4690</v>
      </c>
      <c r="B254" s="237" t="s">
        <v>4691</v>
      </c>
      <c r="C254" s="237" t="s">
        <v>3411</v>
      </c>
      <c r="D254" s="237" t="s">
        <v>3412</v>
      </c>
      <c r="E254" s="237" t="s">
        <v>21</v>
      </c>
      <c r="F254" s="237" t="s">
        <v>3414</v>
      </c>
      <c r="G254" s="237" t="s">
        <v>21</v>
      </c>
      <c r="H254" s="237" t="s">
        <v>4692</v>
      </c>
      <c r="I254" s="237" t="s">
        <v>21</v>
      </c>
      <c r="J254" s="237" t="s">
        <v>4693</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1005</v>
      </c>
      <c r="B255" s="236" t="s">
        <v>4694</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4695</v>
      </c>
      <c r="B256" s="237" t="s">
        <v>4696</v>
      </c>
      <c r="C256" s="237" t="s">
        <v>4697</v>
      </c>
      <c r="D256" s="237" t="s">
        <v>4698</v>
      </c>
      <c r="E256" s="237" t="s">
        <v>4699</v>
      </c>
      <c r="F256" s="237" t="s">
        <v>4700</v>
      </c>
      <c r="G256" s="237" t="s">
        <v>21</v>
      </c>
      <c r="H256" s="237" t="s">
        <v>4701</v>
      </c>
      <c r="I256" s="237" t="s">
        <v>21</v>
      </c>
      <c r="J256" s="237" t="s">
        <v>4702</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4703</v>
      </c>
      <c r="B257" s="237" t="s">
        <v>4704</v>
      </c>
      <c r="C257" s="237" t="s">
        <v>4705</v>
      </c>
      <c r="D257" s="237" t="s">
        <v>4706</v>
      </c>
      <c r="E257" s="237" t="s">
        <v>21</v>
      </c>
      <c r="F257" s="237" t="s">
        <v>21</v>
      </c>
      <c r="G257" s="237" t="s">
        <v>21</v>
      </c>
      <c r="H257" s="237" t="s">
        <v>4707</v>
      </c>
      <c r="I257" s="237" t="s">
        <v>21</v>
      </c>
      <c r="J257" s="237" t="s">
        <v>4708</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1010</v>
      </c>
      <c r="B258" s="236" t="s">
        <v>4709</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4710</v>
      </c>
      <c r="B259" s="237" t="s">
        <v>4711</v>
      </c>
      <c r="C259" s="237" t="s">
        <v>4712</v>
      </c>
      <c r="D259" s="237" t="s">
        <v>4713</v>
      </c>
      <c r="E259" s="237" t="s">
        <v>4714</v>
      </c>
      <c r="F259" s="237" t="s">
        <v>21</v>
      </c>
      <c r="G259" s="237" t="s">
        <v>21</v>
      </c>
      <c r="H259" s="237" t="s">
        <v>4715</v>
      </c>
      <c r="I259" s="237" t="s">
        <v>21</v>
      </c>
      <c r="J259" s="237" t="s">
        <v>4716</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4717</v>
      </c>
      <c r="B260" s="237" t="s">
        <v>4718</v>
      </c>
      <c r="C260" s="237" t="s">
        <v>4719</v>
      </c>
      <c r="D260" s="237" t="s">
        <v>21</v>
      </c>
      <c r="E260" s="237" t="s">
        <v>21</v>
      </c>
      <c r="F260" s="237" t="s">
        <v>21</v>
      </c>
      <c r="G260" s="237" t="s">
        <v>21</v>
      </c>
      <c r="H260" s="237" t="s">
        <v>4720</v>
      </c>
      <c r="I260" s="237" t="s">
        <v>4721</v>
      </c>
      <c r="J260" s="237" t="s">
        <v>4722</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4723</v>
      </c>
      <c r="B261" s="237" t="s">
        <v>4724</v>
      </c>
      <c r="C261" s="237" t="s">
        <v>4725</v>
      </c>
      <c r="D261" s="237" t="s">
        <v>4726</v>
      </c>
      <c r="E261" s="237" t="s">
        <v>21</v>
      </c>
      <c r="F261" s="237" t="s">
        <v>21</v>
      </c>
      <c r="G261" s="237" t="s">
        <v>21</v>
      </c>
      <c r="H261" s="237" t="s">
        <v>4727</v>
      </c>
      <c r="I261" s="237" t="s">
        <v>4728</v>
      </c>
      <c r="J261" s="237" t="s">
        <v>4729</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4730</v>
      </c>
      <c r="B262" s="237" t="s">
        <v>4731</v>
      </c>
      <c r="C262" s="237" t="s">
        <v>4732</v>
      </c>
      <c r="D262" s="237" t="s">
        <v>4733</v>
      </c>
      <c r="E262" s="237" t="s">
        <v>21</v>
      </c>
      <c r="F262" s="237" t="s">
        <v>21</v>
      </c>
      <c r="G262" s="237" t="s">
        <v>21</v>
      </c>
      <c r="H262" s="237" t="s">
        <v>4734</v>
      </c>
      <c r="I262" s="237" t="s">
        <v>4735</v>
      </c>
      <c r="J262" s="237" t="s">
        <v>4736</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4737</v>
      </c>
      <c r="B263" s="237" t="s">
        <v>4738</v>
      </c>
      <c r="C263" s="237" t="s">
        <v>4739</v>
      </c>
      <c r="D263" s="237" t="s">
        <v>4740</v>
      </c>
      <c r="E263" s="237" t="s">
        <v>21</v>
      </c>
      <c r="F263" s="237" t="s">
        <v>21</v>
      </c>
      <c r="G263" s="237" t="s">
        <v>4741</v>
      </c>
      <c r="H263" s="237" t="s">
        <v>3644</v>
      </c>
      <c r="I263" s="237" t="s">
        <v>4742</v>
      </c>
      <c r="J263" s="237" t="s">
        <v>4743</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4744</v>
      </c>
      <c r="B264" s="237" t="s">
        <v>4745</v>
      </c>
      <c r="C264" s="237" t="s">
        <v>4732</v>
      </c>
      <c r="D264" s="237" t="s">
        <v>4746</v>
      </c>
      <c r="E264" s="237" t="s">
        <v>21</v>
      </c>
      <c r="F264" s="237" t="s">
        <v>21</v>
      </c>
      <c r="G264" s="237" t="s">
        <v>21</v>
      </c>
      <c r="H264" s="237" t="s">
        <v>4747</v>
      </c>
      <c r="I264" s="237" t="s">
        <v>21</v>
      </c>
      <c r="J264" s="237" t="s">
        <v>4748</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1014</v>
      </c>
      <c r="B265" s="236" t="s">
        <v>4749</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4750</v>
      </c>
      <c r="B266" s="237" t="s">
        <v>4751</v>
      </c>
      <c r="C266" s="237" t="s">
        <v>4752</v>
      </c>
      <c r="D266" s="237" t="s">
        <v>4753</v>
      </c>
      <c r="E266" s="237" t="s">
        <v>4754</v>
      </c>
      <c r="F266" s="237" t="s">
        <v>21</v>
      </c>
      <c r="G266" s="237" t="s">
        <v>4755</v>
      </c>
      <c r="H266" s="237" t="s">
        <v>4756</v>
      </c>
      <c r="I266" s="237" t="s">
        <v>4757</v>
      </c>
      <c r="J266" s="237" t="s">
        <v>4758</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4759</v>
      </c>
      <c r="B267" s="237" t="s">
        <v>4760</v>
      </c>
      <c r="C267" s="237" t="s">
        <v>4761</v>
      </c>
      <c r="D267" s="237" t="s">
        <v>4762</v>
      </c>
      <c r="E267" s="237" t="s">
        <v>21</v>
      </c>
      <c r="F267" s="237" t="s">
        <v>21</v>
      </c>
      <c r="G267" s="237" t="s">
        <v>21</v>
      </c>
      <c r="H267" s="237" t="s">
        <v>4763</v>
      </c>
      <c r="I267" s="237" t="s">
        <v>21</v>
      </c>
      <c r="J267" s="237" t="s">
        <v>4764</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4765</v>
      </c>
      <c r="B268" s="237" t="s">
        <v>4766</v>
      </c>
      <c r="C268" s="237" t="s">
        <v>4767</v>
      </c>
      <c r="D268" s="237" t="s">
        <v>4762</v>
      </c>
      <c r="E268" s="237" t="s">
        <v>21</v>
      </c>
      <c r="F268" s="237" t="s">
        <v>21</v>
      </c>
      <c r="G268" s="237" t="s">
        <v>4768</v>
      </c>
      <c r="H268" s="237" t="s">
        <v>4769</v>
      </c>
      <c r="I268" s="237" t="s">
        <v>21</v>
      </c>
      <c r="J268" s="237" t="s">
        <v>4770</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4771</v>
      </c>
      <c r="B269" s="237" t="s">
        <v>4772</v>
      </c>
      <c r="C269" s="237" t="s">
        <v>4767</v>
      </c>
      <c r="D269" s="237" t="s">
        <v>4773</v>
      </c>
      <c r="E269" s="237" t="s">
        <v>21</v>
      </c>
      <c r="F269" s="237" t="s">
        <v>21</v>
      </c>
      <c r="G269" s="237" t="s">
        <v>21</v>
      </c>
      <c r="H269" s="237" t="s">
        <v>4774</v>
      </c>
      <c r="I269" s="237" t="s">
        <v>21</v>
      </c>
      <c r="J269" s="237" t="s">
        <v>4775</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4776</v>
      </c>
      <c r="B270" s="237" t="s">
        <v>4777</v>
      </c>
      <c r="C270" s="237" t="s">
        <v>4778</v>
      </c>
      <c r="D270" s="237" t="s">
        <v>4779</v>
      </c>
      <c r="E270" s="237" t="s">
        <v>21</v>
      </c>
      <c r="F270" s="237" t="s">
        <v>21</v>
      </c>
      <c r="G270" s="237" t="s">
        <v>21</v>
      </c>
      <c r="H270" s="237" t="s">
        <v>4780</v>
      </c>
      <c r="I270" s="237" t="s">
        <v>21</v>
      </c>
      <c r="J270" s="237" t="s">
        <v>4781</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4782</v>
      </c>
      <c r="B271" s="237" t="s">
        <v>4783</v>
      </c>
      <c r="C271" s="237" t="s">
        <v>4784</v>
      </c>
      <c r="D271" s="237" t="s">
        <v>4785</v>
      </c>
      <c r="E271" s="237" t="s">
        <v>21</v>
      </c>
      <c r="F271" s="237" t="s">
        <v>21</v>
      </c>
      <c r="G271" s="237" t="s">
        <v>21</v>
      </c>
      <c r="H271" s="237" t="s">
        <v>4786</v>
      </c>
      <c r="I271" s="237" t="s">
        <v>4787</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4788</v>
      </c>
      <c r="B272" s="237" t="s">
        <v>4789</v>
      </c>
      <c r="C272" s="237" t="s">
        <v>4790</v>
      </c>
      <c r="D272" s="237" t="s">
        <v>4791</v>
      </c>
      <c r="E272" s="237" t="s">
        <v>21</v>
      </c>
      <c r="F272" s="237" t="s">
        <v>21</v>
      </c>
      <c r="G272" s="237" t="s">
        <v>21</v>
      </c>
      <c r="H272" s="237" t="s">
        <v>4792</v>
      </c>
      <c r="I272" s="237" t="s">
        <v>4793</v>
      </c>
      <c r="J272" s="237" t="s">
        <v>4794</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1018</v>
      </c>
      <c r="B273" s="236" t="s">
        <v>4795</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4796</v>
      </c>
      <c r="B274" s="237" t="s">
        <v>4797</v>
      </c>
      <c r="C274" s="237" t="s">
        <v>4798</v>
      </c>
      <c r="D274" s="237" t="s">
        <v>4791</v>
      </c>
      <c r="E274" s="237" t="s">
        <v>4799</v>
      </c>
      <c r="F274" s="237" t="s">
        <v>21</v>
      </c>
      <c r="G274" s="237" t="s">
        <v>21</v>
      </c>
      <c r="H274" s="237" t="s">
        <v>4800</v>
      </c>
      <c r="I274" s="237" t="s">
        <v>21</v>
      </c>
      <c r="J274" s="237" t="s">
        <v>4801</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4802</v>
      </c>
      <c r="B275" s="237" t="s">
        <v>4803</v>
      </c>
      <c r="C275" s="237" t="s">
        <v>4804</v>
      </c>
      <c r="D275" s="237" t="s">
        <v>4805</v>
      </c>
      <c r="E275" s="237" t="s">
        <v>21</v>
      </c>
      <c r="F275" s="237" t="s">
        <v>21</v>
      </c>
      <c r="G275" s="237" t="s">
        <v>21</v>
      </c>
      <c r="H275" s="237" t="s">
        <v>4806</v>
      </c>
      <c r="I275" s="237" t="s">
        <v>21</v>
      </c>
      <c r="J275" s="237" t="s">
        <v>4807</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4808</v>
      </c>
      <c r="B276" s="237" t="s">
        <v>4809</v>
      </c>
      <c r="C276" s="237" t="s">
        <v>4810</v>
      </c>
      <c r="D276" s="237" t="s">
        <v>4811</v>
      </c>
      <c r="E276" s="237" t="s">
        <v>21</v>
      </c>
      <c r="F276" s="237" t="s">
        <v>4812</v>
      </c>
      <c r="G276" s="237" t="s">
        <v>21</v>
      </c>
      <c r="H276" s="237" t="s">
        <v>4813</v>
      </c>
      <c r="I276" s="237" t="s">
        <v>4814</v>
      </c>
      <c r="J276" s="237" t="s">
        <v>4815</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4816</v>
      </c>
      <c r="B277" s="236" t="s">
        <v>4817</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4818</v>
      </c>
      <c r="B278" s="237" t="s">
        <v>4819</v>
      </c>
      <c r="C278" s="237" t="s">
        <v>4820</v>
      </c>
      <c r="D278" s="237" t="s">
        <v>4821</v>
      </c>
      <c r="E278" s="237" t="s">
        <v>21</v>
      </c>
      <c r="F278" s="237" t="s">
        <v>4822</v>
      </c>
      <c r="G278" s="237" t="s">
        <v>21</v>
      </c>
      <c r="H278" s="237" t="s">
        <v>4823</v>
      </c>
      <c r="I278" s="237" t="s">
        <v>21</v>
      </c>
      <c r="J278" s="237" t="s">
        <v>4824</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4825</v>
      </c>
      <c r="B279" s="235" t="s">
        <v>4826</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1024</v>
      </c>
      <c r="B280" s="236" t="s">
        <v>4827</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4828</v>
      </c>
      <c r="B281" s="237" t="s">
        <v>4829</v>
      </c>
      <c r="C281" s="237" t="s">
        <v>4830</v>
      </c>
      <c r="D281" s="237" t="s">
        <v>4831</v>
      </c>
      <c r="E281" s="237" t="s">
        <v>4832</v>
      </c>
      <c r="F281" s="237" t="s">
        <v>21</v>
      </c>
      <c r="G281" s="237" t="s">
        <v>21</v>
      </c>
      <c r="H281" s="237" t="s">
        <v>4833</v>
      </c>
      <c r="I281" s="237" t="s">
        <v>21</v>
      </c>
      <c r="J281" s="237" t="s">
        <v>4834</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4835</v>
      </c>
      <c r="B282" s="237" t="s">
        <v>4836</v>
      </c>
      <c r="C282" s="237" t="s">
        <v>4837</v>
      </c>
      <c r="D282" s="237" t="s">
        <v>21</v>
      </c>
      <c r="E282" s="237" t="s">
        <v>21</v>
      </c>
      <c r="F282" s="237" t="s">
        <v>21</v>
      </c>
      <c r="G282" s="237" t="s">
        <v>21</v>
      </c>
      <c r="H282" s="237" t="s">
        <v>4838</v>
      </c>
      <c r="I282" s="237" t="s">
        <v>21</v>
      </c>
      <c r="J282" s="237" t="s">
        <v>4839</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4840</v>
      </c>
      <c r="B283" s="237" t="s">
        <v>4841</v>
      </c>
      <c r="C283" s="237" t="s">
        <v>4842</v>
      </c>
      <c r="D283" s="237" t="s">
        <v>21</v>
      </c>
      <c r="E283" s="237" t="s">
        <v>21</v>
      </c>
      <c r="F283" s="237" t="s">
        <v>21</v>
      </c>
      <c r="G283" s="237" t="s">
        <v>21</v>
      </c>
      <c r="H283" s="237" t="s">
        <v>4843</v>
      </c>
      <c r="I283" s="237" t="s">
        <v>21</v>
      </c>
      <c r="J283" s="237" t="s">
        <v>4844</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4845</v>
      </c>
      <c r="B284" s="237" t="s">
        <v>4846</v>
      </c>
      <c r="C284" s="237" t="s">
        <v>4847</v>
      </c>
      <c r="D284" s="237" t="s">
        <v>4848</v>
      </c>
      <c r="E284" s="237" t="s">
        <v>21</v>
      </c>
      <c r="F284" s="237" t="s">
        <v>21</v>
      </c>
      <c r="G284" s="237" t="s">
        <v>21</v>
      </c>
      <c r="H284" s="237" t="s">
        <v>4849</v>
      </c>
      <c r="I284" s="237" t="s">
        <v>21</v>
      </c>
      <c r="J284" s="237" t="s">
        <v>4850</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1028</v>
      </c>
      <c r="B285" s="236" t="s">
        <v>4851</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4852</v>
      </c>
      <c r="B286" s="237" t="s">
        <v>4853</v>
      </c>
      <c r="C286" s="237" t="s">
        <v>4854</v>
      </c>
      <c r="D286" s="237" t="s">
        <v>4855</v>
      </c>
      <c r="E286" s="237" t="s">
        <v>21</v>
      </c>
      <c r="F286" s="237" t="s">
        <v>21</v>
      </c>
      <c r="G286" s="237" t="s">
        <v>21</v>
      </c>
      <c r="H286" s="237" t="s">
        <v>4856</v>
      </c>
      <c r="I286" s="237" t="s">
        <v>4857</v>
      </c>
      <c r="J286" s="237" t="s">
        <v>4858</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1032</v>
      </c>
      <c r="B287" s="236" t="s">
        <v>4859</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4860</v>
      </c>
      <c r="B288" s="237" t="s">
        <v>4861</v>
      </c>
      <c r="C288" s="237" t="s">
        <v>4862</v>
      </c>
      <c r="D288" s="237" t="s">
        <v>4863</v>
      </c>
      <c r="E288" s="237" t="s">
        <v>4864</v>
      </c>
      <c r="F288" s="237" t="s">
        <v>4865</v>
      </c>
      <c r="G288" s="237" t="s">
        <v>4866</v>
      </c>
      <c r="H288" s="237" t="s">
        <v>4867</v>
      </c>
      <c r="I288" s="237" t="s">
        <v>3848</v>
      </c>
      <c r="J288" s="237" t="s">
        <v>4868</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4869</v>
      </c>
      <c r="B289" s="237" t="s">
        <v>4870</v>
      </c>
      <c r="C289" s="237" t="s">
        <v>4871</v>
      </c>
      <c r="D289" s="237" t="s">
        <v>21</v>
      </c>
      <c r="E289" s="237" t="s">
        <v>4864</v>
      </c>
      <c r="F289" s="237" t="s">
        <v>21</v>
      </c>
      <c r="G289" s="237" t="s">
        <v>4872</v>
      </c>
      <c r="H289" s="237" t="s">
        <v>4873</v>
      </c>
      <c r="I289" s="237" t="s">
        <v>4874</v>
      </c>
      <c r="J289" s="237" t="s">
        <v>4875</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4876</v>
      </c>
      <c r="B290" s="237" t="s">
        <v>4877</v>
      </c>
      <c r="C290" s="237" t="s">
        <v>4878</v>
      </c>
      <c r="D290" s="237" t="s">
        <v>21</v>
      </c>
      <c r="E290" s="237" t="s">
        <v>4879</v>
      </c>
      <c r="F290" s="237" t="s">
        <v>21</v>
      </c>
      <c r="G290" s="237" t="s">
        <v>4880</v>
      </c>
      <c r="H290" s="237" t="s">
        <v>4881</v>
      </c>
      <c r="I290" s="237" t="s">
        <v>4882</v>
      </c>
      <c r="J290" s="237" t="s">
        <v>4883</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4884</v>
      </c>
      <c r="B291" s="237" t="s">
        <v>4885</v>
      </c>
      <c r="C291" s="237" t="s">
        <v>4886</v>
      </c>
      <c r="D291" s="237" t="s">
        <v>21</v>
      </c>
      <c r="E291" s="237" t="s">
        <v>21</v>
      </c>
      <c r="F291" s="237" t="s">
        <v>21</v>
      </c>
      <c r="G291" s="237" t="s">
        <v>21</v>
      </c>
      <c r="H291" s="237" t="s">
        <v>4887</v>
      </c>
      <c r="I291" s="237" t="s">
        <v>3848</v>
      </c>
      <c r="J291" s="237" t="s">
        <v>4888</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1036</v>
      </c>
      <c r="B292" s="236" t="s">
        <v>4889</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4890</v>
      </c>
      <c r="B293" s="237" t="s">
        <v>4891</v>
      </c>
      <c r="C293" s="237" t="s">
        <v>4892</v>
      </c>
      <c r="D293" s="237" t="s">
        <v>4893</v>
      </c>
      <c r="E293" s="237" t="s">
        <v>21</v>
      </c>
      <c r="F293" s="237" t="s">
        <v>21</v>
      </c>
      <c r="G293" s="237" t="s">
        <v>21</v>
      </c>
      <c r="H293" s="237" t="s">
        <v>4894</v>
      </c>
      <c r="I293" s="237" t="s">
        <v>4895</v>
      </c>
      <c r="J293" s="237" t="s">
        <v>4896</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4897</v>
      </c>
      <c r="B294" s="237" t="s">
        <v>4898</v>
      </c>
      <c r="C294" s="237" t="s">
        <v>4899</v>
      </c>
      <c r="D294" s="237" t="s">
        <v>4893</v>
      </c>
      <c r="E294" s="237" t="s">
        <v>21</v>
      </c>
      <c r="F294" s="237" t="s">
        <v>4900</v>
      </c>
      <c r="G294" s="237" t="s">
        <v>21</v>
      </c>
      <c r="H294" s="237" t="s">
        <v>4901</v>
      </c>
      <c r="I294" s="237" t="s">
        <v>3818</v>
      </c>
      <c r="J294" s="237" t="s">
        <v>4902</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4903</v>
      </c>
      <c r="B295" s="237" t="s">
        <v>4904</v>
      </c>
      <c r="C295" s="237" t="s">
        <v>4905</v>
      </c>
      <c r="D295" s="237" t="s">
        <v>4906</v>
      </c>
      <c r="E295" s="237" t="s">
        <v>21</v>
      </c>
      <c r="F295" s="237" t="s">
        <v>21</v>
      </c>
      <c r="G295" s="237" t="s">
        <v>21</v>
      </c>
      <c r="H295" s="237" t="s">
        <v>4907</v>
      </c>
      <c r="I295" s="237" t="s">
        <v>3818</v>
      </c>
      <c r="J295" s="237" t="s">
        <v>4908</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1040</v>
      </c>
      <c r="B296" s="236" t="s">
        <v>4909</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4910</v>
      </c>
      <c r="B297" s="237" t="s">
        <v>4911</v>
      </c>
      <c r="C297" s="237" t="s">
        <v>4912</v>
      </c>
      <c r="D297" s="237" t="s">
        <v>4906</v>
      </c>
      <c r="E297" s="237" t="s">
        <v>21</v>
      </c>
      <c r="F297" s="237" t="s">
        <v>4913</v>
      </c>
      <c r="G297" s="237" t="s">
        <v>21</v>
      </c>
      <c r="H297" s="237" t="s">
        <v>4914</v>
      </c>
      <c r="I297" s="237" t="s">
        <v>21</v>
      </c>
      <c r="J297" s="237" t="s">
        <v>4915</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4916</v>
      </c>
      <c r="B298" s="237" t="s">
        <v>4917</v>
      </c>
      <c r="C298" s="237" t="s">
        <v>4918</v>
      </c>
      <c r="D298" s="237" t="s">
        <v>4919</v>
      </c>
      <c r="E298" s="237" t="s">
        <v>21</v>
      </c>
      <c r="F298" s="237" t="s">
        <v>21</v>
      </c>
      <c r="G298" s="237" t="s">
        <v>4920</v>
      </c>
      <c r="H298" s="237" t="s">
        <v>4921</v>
      </c>
      <c r="I298" s="237" t="s">
        <v>4921</v>
      </c>
      <c r="J298" s="237" t="s">
        <v>4922</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4923</v>
      </c>
      <c r="B299" s="237" t="s">
        <v>4924</v>
      </c>
      <c r="C299" s="237" t="s">
        <v>4925</v>
      </c>
      <c r="D299" s="237" t="s">
        <v>21</v>
      </c>
      <c r="E299" s="237" t="s">
        <v>21</v>
      </c>
      <c r="F299" s="237" t="s">
        <v>21</v>
      </c>
      <c r="G299" s="237" t="s">
        <v>21</v>
      </c>
      <c r="H299" s="237" t="s">
        <v>4926</v>
      </c>
      <c r="I299" s="237" t="s">
        <v>4927</v>
      </c>
      <c r="J299" s="237" t="s">
        <v>4928</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4929</v>
      </c>
      <c r="B300" s="237" t="s">
        <v>4930</v>
      </c>
      <c r="C300" s="237" t="s">
        <v>4931</v>
      </c>
      <c r="D300" s="237" t="s">
        <v>21</v>
      </c>
      <c r="E300" s="237" t="s">
        <v>21</v>
      </c>
      <c r="F300" s="237" t="s">
        <v>4932</v>
      </c>
      <c r="G300" s="237" t="s">
        <v>21</v>
      </c>
      <c r="H300" s="237" t="s">
        <v>4933</v>
      </c>
      <c r="I300" s="237" t="s">
        <v>4927</v>
      </c>
      <c r="J300" s="237" t="s">
        <v>4934</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1044</v>
      </c>
      <c r="B301" s="236" t="s">
        <v>4935</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4936</v>
      </c>
      <c r="B302" s="237" t="s">
        <v>4937</v>
      </c>
      <c r="C302" s="237" t="s">
        <v>4938</v>
      </c>
      <c r="D302" s="237" t="s">
        <v>21</v>
      </c>
      <c r="E302" s="237" t="s">
        <v>21</v>
      </c>
      <c r="F302" s="237" t="s">
        <v>21</v>
      </c>
      <c r="G302" s="237" t="s">
        <v>21</v>
      </c>
      <c r="H302" s="237" t="s">
        <v>4939</v>
      </c>
      <c r="I302" s="237" t="s">
        <v>21</v>
      </c>
      <c r="J302" s="237" t="s">
        <v>4940</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4941</v>
      </c>
      <c r="B303" s="237" t="s">
        <v>4942</v>
      </c>
      <c r="C303" s="237" t="s">
        <v>4943</v>
      </c>
      <c r="D303" s="237" t="s">
        <v>4944</v>
      </c>
      <c r="E303" s="237" t="s">
        <v>21</v>
      </c>
      <c r="F303" s="237" t="s">
        <v>21</v>
      </c>
      <c r="G303" s="237" t="s">
        <v>21</v>
      </c>
      <c r="H303" s="237" t="s">
        <v>4945</v>
      </c>
      <c r="I303" s="237" t="s">
        <v>3848</v>
      </c>
      <c r="J303" s="237" t="s">
        <v>4946</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4947</v>
      </c>
      <c r="B304" s="237" t="s">
        <v>4948</v>
      </c>
      <c r="C304" s="237" t="s">
        <v>4949</v>
      </c>
      <c r="D304" s="237" t="s">
        <v>4944</v>
      </c>
      <c r="E304" s="237" t="s">
        <v>21</v>
      </c>
      <c r="F304" s="237" t="s">
        <v>4950</v>
      </c>
      <c r="G304" s="237" t="s">
        <v>21</v>
      </c>
      <c r="H304" s="237" t="s">
        <v>4951</v>
      </c>
      <c r="I304" s="237" t="s">
        <v>21</v>
      </c>
      <c r="J304" s="237" t="s">
        <v>4952</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4953</v>
      </c>
      <c r="B305" s="237" t="s">
        <v>4954</v>
      </c>
      <c r="C305" s="237" t="s">
        <v>4955</v>
      </c>
      <c r="D305" s="237" t="s">
        <v>4956</v>
      </c>
      <c r="E305" s="237" t="s">
        <v>21</v>
      </c>
      <c r="F305" s="237" t="s">
        <v>21</v>
      </c>
      <c r="G305" s="237" t="s">
        <v>21</v>
      </c>
      <c r="H305" s="237" t="s">
        <v>4957</v>
      </c>
      <c r="I305" s="237" t="s">
        <v>4958</v>
      </c>
      <c r="J305" s="237" t="s">
        <v>4959</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4960</v>
      </c>
      <c r="B306" s="237" t="s">
        <v>4961</v>
      </c>
      <c r="C306" s="237" t="s">
        <v>4962</v>
      </c>
      <c r="D306" s="237" t="s">
        <v>4963</v>
      </c>
      <c r="E306" s="237" t="s">
        <v>21</v>
      </c>
      <c r="F306" s="237" t="s">
        <v>21</v>
      </c>
      <c r="G306" s="237" t="s">
        <v>21</v>
      </c>
      <c r="H306" s="237" t="s">
        <v>4964</v>
      </c>
      <c r="I306" s="237" t="s">
        <v>3848</v>
      </c>
      <c r="J306" s="237" t="s">
        <v>4965</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1048</v>
      </c>
      <c r="B307" s="236" t="s">
        <v>4966</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4967</v>
      </c>
      <c r="B308" s="237" t="s">
        <v>4968</v>
      </c>
      <c r="C308" s="237" t="s">
        <v>4969</v>
      </c>
      <c r="D308" s="237" t="s">
        <v>4963</v>
      </c>
      <c r="E308" s="237" t="s">
        <v>21</v>
      </c>
      <c r="F308" s="237" t="s">
        <v>4970</v>
      </c>
      <c r="G308" s="237" t="s">
        <v>21</v>
      </c>
      <c r="H308" s="237" t="s">
        <v>4971</v>
      </c>
      <c r="I308" s="237" t="s">
        <v>4972</v>
      </c>
      <c r="J308" s="237" t="s">
        <v>4973</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1052</v>
      </c>
      <c r="B309" s="236" t="s">
        <v>4974</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4975</v>
      </c>
      <c r="B310" s="237" t="s">
        <v>4976</v>
      </c>
      <c r="C310" s="237" t="s">
        <v>4977</v>
      </c>
      <c r="D310" s="237" t="s">
        <v>21</v>
      </c>
      <c r="E310" s="237" t="s">
        <v>21</v>
      </c>
      <c r="F310" s="237" t="s">
        <v>4978</v>
      </c>
      <c r="G310" s="237" t="s">
        <v>21</v>
      </c>
      <c r="H310" s="237" t="s">
        <v>4979</v>
      </c>
      <c r="I310" s="237" t="s">
        <v>4980</v>
      </c>
      <c r="J310" s="237" t="s">
        <v>4981</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4982</v>
      </c>
      <c r="B311" s="237" t="s">
        <v>4983</v>
      </c>
      <c r="C311" s="237" t="s">
        <v>4984</v>
      </c>
      <c r="D311" s="237" t="s">
        <v>4985</v>
      </c>
      <c r="E311" s="237" t="s">
        <v>21</v>
      </c>
      <c r="F311" s="237" t="s">
        <v>21</v>
      </c>
      <c r="G311" s="237" t="s">
        <v>4986</v>
      </c>
      <c r="H311" s="237" t="s">
        <v>4987</v>
      </c>
      <c r="I311" s="237" t="s">
        <v>21</v>
      </c>
      <c r="J311" s="237" t="s">
        <v>4988</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4989</v>
      </c>
      <c r="B312" s="237" t="s">
        <v>4990</v>
      </c>
      <c r="C312" s="237" t="s">
        <v>4991</v>
      </c>
      <c r="D312" s="237" t="s">
        <v>4992</v>
      </c>
      <c r="E312" s="237" t="s">
        <v>21</v>
      </c>
      <c r="F312" s="237" t="s">
        <v>21</v>
      </c>
      <c r="G312" s="237" t="s">
        <v>21</v>
      </c>
      <c r="H312" s="237" t="s">
        <v>4993</v>
      </c>
      <c r="I312" s="237" t="s">
        <v>21</v>
      </c>
      <c r="J312" s="237" t="s">
        <v>4994</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4995</v>
      </c>
      <c r="B313" s="237" t="s">
        <v>4996</v>
      </c>
      <c r="C313" s="237" t="s">
        <v>4997</v>
      </c>
      <c r="D313" s="237" t="s">
        <v>4998</v>
      </c>
      <c r="E313" s="237" t="s">
        <v>21</v>
      </c>
      <c r="F313" s="237" t="s">
        <v>21</v>
      </c>
      <c r="G313" s="237" t="s">
        <v>4999</v>
      </c>
      <c r="H313" s="237" t="s">
        <v>5000</v>
      </c>
      <c r="I313" s="237" t="s">
        <v>5001</v>
      </c>
      <c r="J313" s="237" t="s">
        <v>5002</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5003</v>
      </c>
      <c r="B314" s="237" t="s">
        <v>5004</v>
      </c>
      <c r="C314" s="237" t="s">
        <v>5005</v>
      </c>
      <c r="D314" s="237" t="s">
        <v>5006</v>
      </c>
      <c r="E314" s="237" t="s">
        <v>21</v>
      </c>
      <c r="F314" s="237" t="s">
        <v>21</v>
      </c>
      <c r="G314" s="237" t="s">
        <v>5007</v>
      </c>
      <c r="H314" s="237" t="s">
        <v>5008</v>
      </c>
      <c r="I314" s="237" t="s">
        <v>5009</v>
      </c>
      <c r="J314" s="237" t="s">
        <v>5010</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5011</v>
      </c>
      <c r="B315" s="236" t="s">
        <v>5012</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5013</v>
      </c>
      <c r="B316" s="237" t="s">
        <v>5014</v>
      </c>
      <c r="C316" s="237" t="s">
        <v>5015</v>
      </c>
      <c r="D316" s="237" t="s">
        <v>21</v>
      </c>
      <c r="E316" s="237" t="s">
        <v>21</v>
      </c>
      <c r="F316" s="237" t="s">
        <v>21</v>
      </c>
      <c r="G316" s="237" t="s">
        <v>21</v>
      </c>
      <c r="H316" s="237" t="s">
        <v>5016</v>
      </c>
      <c r="I316" s="237" t="s">
        <v>5017</v>
      </c>
      <c r="J316" s="237" t="s">
        <v>5018</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5019</v>
      </c>
      <c r="B317" s="237" t="s">
        <v>5020</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5021</v>
      </c>
      <c r="B318" s="236" t="s">
        <v>5022</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5023</v>
      </c>
      <c r="B319" s="237" t="s">
        <v>5024</v>
      </c>
      <c r="C319" s="237" t="s">
        <v>5025</v>
      </c>
      <c r="D319" s="237" t="s">
        <v>5026</v>
      </c>
      <c r="E319" s="237" t="s">
        <v>21</v>
      </c>
      <c r="F319" s="237" t="s">
        <v>5027</v>
      </c>
      <c r="G319" s="237" t="s">
        <v>5028</v>
      </c>
      <c r="H319" s="237" t="s">
        <v>5029</v>
      </c>
      <c r="I319" s="237" t="s">
        <v>21</v>
      </c>
      <c r="J319" s="237" t="s">
        <v>5030</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5031</v>
      </c>
      <c r="B320" s="237" t="s">
        <v>5032</v>
      </c>
      <c r="C320" s="237" t="s">
        <v>5033</v>
      </c>
      <c r="D320" s="237" t="s">
        <v>5034</v>
      </c>
      <c r="E320" s="237" t="s">
        <v>21</v>
      </c>
      <c r="F320" s="237" t="s">
        <v>21</v>
      </c>
      <c r="G320" s="237" t="s">
        <v>21</v>
      </c>
      <c r="H320" s="237" t="s">
        <v>5035</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5036</v>
      </c>
      <c r="B321" s="237" t="s">
        <v>5037</v>
      </c>
      <c r="C321" s="237" t="s">
        <v>5038</v>
      </c>
      <c r="D321" s="237" t="s">
        <v>5039</v>
      </c>
      <c r="E321" s="237" t="s">
        <v>21</v>
      </c>
      <c r="F321" s="237" t="s">
        <v>21</v>
      </c>
      <c r="G321" s="237" t="s">
        <v>21</v>
      </c>
      <c r="H321" s="237" t="s">
        <v>5040</v>
      </c>
      <c r="I321" s="237" t="s">
        <v>21</v>
      </c>
      <c r="J321" s="237" t="s">
        <v>5041</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5042</v>
      </c>
      <c r="B322" s="237" t="s">
        <v>5043</v>
      </c>
      <c r="C322" s="237" t="s">
        <v>5044</v>
      </c>
      <c r="D322" s="237" t="s">
        <v>5045</v>
      </c>
      <c r="E322" s="237" t="s">
        <v>21</v>
      </c>
      <c r="F322" s="237" t="s">
        <v>21</v>
      </c>
      <c r="G322" s="237" t="s">
        <v>21</v>
      </c>
      <c r="H322" s="237" t="s">
        <v>5046</v>
      </c>
      <c r="I322" s="237" t="s">
        <v>21</v>
      </c>
      <c r="J322" s="237" t="s">
        <v>5047</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5048</v>
      </c>
      <c r="B323" s="237" t="s">
        <v>5049</v>
      </c>
      <c r="C323" s="237" t="s">
        <v>5050</v>
      </c>
      <c r="D323" s="237" t="s">
        <v>21</v>
      </c>
      <c r="E323" s="237" t="s">
        <v>21</v>
      </c>
      <c r="F323" s="237" t="s">
        <v>21</v>
      </c>
      <c r="G323" s="237" t="s">
        <v>21</v>
      </c>
      <c r="H323" s="237" t="s">
        <v>5051</v>
      </c>
      <c r="I323" s="237" t="s">
        <v>3848</v>
      </c>
      <c r="J323" s="237" t="s">
        <v>5052</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5053</v>
      </c>
      <c r="B324" s="237" t="s">
        <v>5054</v>
      </c>
      <c r="C324" s="237" t="s">
        <v>5055</v>
      </c>
      <c r="D324" s="237" t="s">
        <v>21</v>
      </c>
      <c r="E324" s="237" t="s">
        <v>21</v>
      </c>
      <c r="F324" s="237" t="s">
        <v>21</v>
      </c>
      <c r="G324" s="237" t="s">
        <v>21</v>
      </c>
      <c r="H324" s="237" t="s">
        <v>5056</v>
      </c>
      <c r="I324" s="237" t="s">
        <v>5057</v>
      </c>
      <c r="J324" s="237" t="s">
        <v>5058</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5059</v>
      </c>
      <c r="B325" s="237" t="s">
        <v>5060</v>
      </c>
      <c r="C325" s="237" t="s">
        <v>5061</v>
      </c>
      <c r="D325" s="237" t="s">
        <v>5062</v>
      </c>
      <c r="E325" s="237" t="s">
        <v>21</v>
      </c>
      <c r="F325" s="237" t="s">
        <v>21</v>
      </c>
      <c r="G325" s="237" t="s">
        <v>21</v>
      </c>
      <c r="H325" s="237" t="s">
        <v>5063</v>
      </c>
      <c r="I325" s="237" t="s">
        <v>21</v>
      </c>
      <c r="J325" s="237" t="s">
        <v>5064</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5065</v>
      </c>
      <c r="B326" s="244" t="s">
        <v>5066</v>
      </c>
      <c r="C326" s="244" t="s">
        <v>5067</v>
      </c>
      <c r="D326" s="244" t="s">
        <v>5068</v>
      </c>
      <c r="E326" s="244" t="s">
        <v>21</v>
      </c>
      <c r="F326" s="244" t="s">
        <v>21</v>
      </c>
      <c r="G326" s="244" t="s">
        <v>21</v>
      </c>
      <c r="H326" s="244" t="s">
        <v>5069</v>
      </c>
      <c r="I326" s="244" t="s">
        <v>3848</v>
      </c>
      <c r="J326" s="244" t="s">
        <v>5070</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334</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IFERROR(INDEX('Recommendations'!$H$2:$H$64, MATCH(L2,'Recommendations'!$A$2:$A$64,0))="Implemented", FALSE))</xm:f>
            <x14:dxf>
              <font>
                <color rgb="FF000000"/>
              </font>
              <fill>
                <patternFill>
                  <bgColor rgb="FF3C7D22"/>
                </patternFill>
              </fill>
            </x14:dxf>
          </x14:cfRule>
          <x14:cfRule type="expression" priority="2" id="{00000000-000E-0000-0A00-000002000000}">
            <xm:f>AND(L2&lt;&gt;"", IFERROR(INDEX('Recommendations'!$H$2:$H$64, MATCH(L2,'Recommendations'!$A$2:$A$64,0))="Compensated", FALSE))</xm:f>
            <x14:dxf>
              <font>
                <color rgb="FF000000"/>
              </font>
              <fill>
                <patternFill>
                  <bgColor rgb="FFC6E0B4"/>
                </patternFill>
              </fill>
            </x14:dxf>
          </x14:cfRule>
          <x14:cfRule type="expression" priority="3" id="{00000000-000E-0000-0A00-000003000000}">
            <xm:f>AND(L2&lt;&gt;"", IFERROR(INDEX('Recommendations'!$H$2:$H$64, MATCH(L2,'Recommendations'!$A$2:$A$64,0))="Testing", FALSE))</xm:f>
            <x14:dxf>
              <font>
                <color rgb="FF000000"/>
              </font>
              <fill>
                <patternFill>
                  <bgColor rgb="FFFFC000"/>
                </patternFill>
              </fill>
            </x14:dxf>
          </x14:cfRule>
          <x14:cfRule type="expression" priority="4" id="{00000000-000E-0000-0A00-000004000000}">
            <xm:f>AND(L2&lt;&gt;"", IFERROR(INDEX('Recommendations'!$H$2:$H$64, MATCH(L2,'Recommendations'!$A$2:$A$64,0))="Failed", FALSE))</xm:f>
            <x14:dxf>
              <font>
                <color rgb="FF000000"/>
              </font>
              <fill>
                <patternFill>
                  <bgColor rgb="FFD82891"/>
                </patternFill>
              </fill>
            </x14:dxf>
          </x14:cfRule>
          <x14:cfRule type="expression" priority="5" id="{00000000-000E-0000-0A00-000005000000}">
            <xm:f>AND(L2&lt;&gt;"", IFERROR(INDEX('Recommendations'!$H$2:$H$64, MATCH(L2,'Recommendations'!$A$2:$A$64,0))="Risk Accepted", FALSE))</xm:f>
            <x14:dxf>
              <font>
                <color rgb="FF000000"/>
              </font>
              <fill>
                <patternFill>
                  <bgColor rgb="FFD9D9D9"/>
                </patternFill>
              </fill>
            </x14:dxf>
          </x14:cfRule>
          <x14:cfRule type="expression" priority="6" id="{00000000-000E-0000-0A00-000006000000}">
            <xm:f>AND(L2&lt;&gt;"", IFERROR(INDEX('Recommendations'!$H$2:$H$64, MATCH(L2,'Recommendations'!$A$2:$A$64,0))="N/A",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2219</v>
      </c>
      <c r="B1" s="289" t="s">
        <v>3104</v>
      </c>
      <c r="C1" s="289" t="s">
        <v>0</v>
      </c>
      <c r="D1" s="289" t="s">
        <v>582</v>
      </c>
      <c r="E1" s="289" t="s">
        <v>5071</v>
      </c>
      <c r="F1" s="289" t="s">
        <v>5072</v>
      </c>
      <c r="G1" s="289" t="s">
        <v>587</v>
      </c>
      <c r="H1" s="289" t="s">
        <v>588</v>
      </c>
      <c r="I1" s="289" t="s">
        <v>589</v>
      </c>
      <c r="J1" s="289" t="s">
        <v>590</v>
      </c>
      <c r="K1" s="289" t="s">
        <v>591</v>
      </c>
      <c r="L1" s="289" t="s">
        <v>592</v>
      </c>
      <c r="M1" s="289" t="s">
        <v>593</v>
      </c>
      <c r="N1" s="289" t="s">
        <v>594</v>
      </c>
      <c r="O1" s="289" t="s">
        <v>595</v>
      </c>
      <c r="P1" s="289" t="s">
        <v>596</v>
      </c>
      <c r="Q1" s="289" t="s">
        <v>597</v>
      </c>
      <c r="R1" s="289" t="s">
        <v>598</v>
      </c>
      <c r="S1" s="289" t="s">
        <v>599</v>
      </c>
      <c r="T1" s="289" t="s">
        <v>600</v>
      </c>
      <c r="U1" s="289" t="s">
        <v>601</v>
      </c>
      <c r="V1" s="289" t="s">
        <v>602</v>
      </c>
      <c r="W1" s="289" t="s">
        <v>603</v>
      </c>
      <c r="X1" s="289" t="s">
        <v>604</v>
      </c>
      <c r="Y1" s="289" t="s">
        <v>605</v>
      </c>
      <c r="Z1" s="289" t="s">
        <v>606</v>
      </c>
      <c r="AA1" s="289" t="s">
        <v>607</v>
      </c>
      <c r="AB1" s="289" t="s">
        <v>608</v>
      </c>
      <c r="AC1" s="289" t="s">
        <v>609</v>
      </c>
      <c r="AD1" s="289" t="s">
        <v>610</v>
      </c>
      <c r="AE1" s="289" t="s">
        <v>611</v>
      </c>
      <c r="AF1" s="289" t="s">
        <v>612</v>
      </c>
      <c r="AG1" s="289" t="s">
        <v>613</v>
      </c>
      <c r="AH1" s="289" t="s">
        <v>614</v>
      </c>
      <c r="AI1" s="289" t="s">
        <v>615</v>
      </c>
      <c r="AJ1" s="289" t="s">
        <v>616</v>
      </c>
      <c r="AK1" s="289" t="s">
        <v>617</v>
      </c>
      <c r="AL1" s="289" t="s">
        <v>618</v>
      </c>
      <c r="AM1" s="289" t="s">
        <v>619</v>
      </c>
      <c r="AN1" s="289" t="s">
        <v>620</v>
      </c>
      <c r="AO1" s="289" t="s">
        <v>621</v>
      </c>
      <c r="AP1" s="289" t="s">
        <v>622</v>
      </c>
      <c r="AQ1" s="289" t="s">
        <v>623</v>
      </c>
      <c r="AR1" s="289" t="s">
        <v>624</v>
      </c>
      <c r="AS1" s="289" t="s">
        <v>625</v>
      </c>
      <c r="AT1" s="289" t="s">
        <v>626</v>
      </c>
      <c r="AU1" s="290" t="s">
        <v>627</v>
      </c>
    </row>
    <row r="2" spans="1:47" ht="60" customHeight="1" outlineLevel="1" x14ac:dyDescent="0.35">
      <c r="A2" s="280" t="s">
        <v>5073</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5073</v>
      </c>
      <c r="B3" s="259" t="s">
        <v>5074</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5073</v>
      </c>
      <c r="B4" s="260" t="s">
        <v>5074</v>
      </c>
      <c r="C4" s="261" t="s">
        <v>5075</v>
      </c>
      <c r="D4" s="264" t="s">
        <v>5076</v>
      </c>
      <c r="E4" s="265" t="s">
        <v>5077</v>
      </c>
      <c r="F4" s="268" t="s">
        <v>5078</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5073</v>
      </c>
      <c r="B5" s="260" t="s">
        <v>5074</v>
      </c>
      <c r="C5" s="261" t="s">
        <v>5079</v>
      </c>
      <c r="D5" s="264" t="s">
        <v>5080</v>
      </c>
      <c r="E5" s="265" t="s">
        <v>5077</v>
      </c>
      <c r="F5" s="268" t="s">
        <v>5078</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5073</v>
      </c>
      <c r="B6" s="260" t="s">
        <v>5074</v>
      </c>
      <c r="C6" s="261" t="s">
        <v>5081</v>
      </c>
      <c r="D6" s="264" t="s">
        <v>5082</v>
      </c>
      <c r="E6" s="265" t="s">
        <v>5077</v>
      </c>
      <c r="F6" s="268" t="s">
        <v>5078</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5073</v>
      </c>
      <c r="B7" s="260" t="s">
        <v>5074</v>
      </c>
      <c r="C7" s="261" t="s">
        <v>5083</v>
      </c>
      <c r="D7" s="264" t="s">
        <v>5084</v>
      </c>
      <c r="E7" s="265" t="s">
        <v>5077</v>
      </c>
      <c r="F7" s="268" t="s">
        <v>5078</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5073</v>
      </c>
      <c r="B8" s="260" t="s">
        <v>5074</v>
      </c>
      <c r="C8" s="261" t="s">
        <v>5085</v>
      </c>
      <c r="D8" s="264" t="s">
        <v>5086</v>
      </c>
      <c r="E8" s="265" t="s">
        <v>5077</v>
      </c>
      <c r="F8" s="268" t="s">
        <v>5078</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5073</v>
      </c>
      <c r="B9" s="260" t="s">
        <v>5074</v>
      </c>
      <c r="C9" s="261" t="s">
        <v>5087</v>
      </c>
      <c r="D9" s="264" t="s">
        <v>5088</v>
      </c>
      <c r="E9" s="265" t="s">
        <v>5077</v>
      </c>
      <c r="F9" s="268" t="s">
        <v>5078</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5073</v>
      </c>
      <c r="B10" s="260" t="s">
        <v>5074</v>
      </c>
      <c r="C10" s="261" t="s">
        <v>5089</v>
      </c>
      <c r="D10" s="264" t="s">
        <v>5090</v>
      </c>
      <c r="E10" s="265" t="s">
        <v>5077</v>
      </c>
      <c r="F10" s="268" t="s">
        <v>5078</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5073</v>
      </c>
      <c r="B11" s="260" t="s">
        <v>5074</v>
      </c>
      <c r="C11" s="261" t="s">
        <v>5091</v>
      </c>
      <c r="D11" s="264" t="s">
        <v>5092</v>
      </c>
      <c r="E11" s="265" t="s">
        <v>5077</v>
      </c>
      <c r="F11" s="268" t="s">
        <v>5078</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5073</v>
      </c>
      <c r="B12" s="260" t="s">
        <v>5074</v>
      </c>
      <c r="C12" s="261" t="s">
        <v>5093</v>
      </c>
      <c r="D12" s="264" t="s">
        <v>5094</v>
      </c>
      <c r="E12" s="265" t="s">
        <v>5077</v>
      </c>
      <c r="F12" s="268" t="s">
        <v>5078</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5073</v>
      </c>
      <c r="B13" s="260" t="s">
        <v>5074</v>
      </c>
      <c r="C13" s="261" t="s">
        <v>5095</v>
      </c>
      <c r="D13" s="264" t="s">
        <v>5096</v>
      </c>
      <c r="E13" s="265" t="s">
        <v>5077</v>
      </c>
      <c r="F13" s="268" t="s">
        <v>5078</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5073</v>
      </c>
      <c r="B14" s="260" t="s">
        <v>5074</v>
      </c>
      <c r="C14" s="261" t="s">
        <v>5097</v>
      </c>
      <c r="D14" s="264" t="s">
        <v>5098</v>
      </c>
      <c r="E14" s="265" t="s">
        <v>5077</v>
      </c>
      <c r="F14" s="268" t="s">
        <v>5078</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5073</v>
      </c>
      <c r="B15" s="260" t="s">
        <v>5074</v>
      </c>
      <c r="C15" s="261" t="s">
        <v>5099</v>
      </c>
      <c r="D15" s="264" t="s">
        <v>5100</v>
      </c>
      <c r="E15" s="265" t="s">
        <v>5077</v>
      </c>
      <c r="F15" s="268" t="s">
        <v>5078</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5073</v>
      </c>
      <c r="B16" s="260" t="s">
        <v>5074</v>
      </c>
      <c r="C16" s="261" t="s">
        <v>5101</v>
      </c>
      <c r="D16" s="264" t="s">
        <v>5102</v>
      </c>
      <c r="E16" s="265" t="s">
        <v>5077</v>
      </c>
      <c r="F16" s="268" t="s">
        <v>5078</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5073</v>
      </c>
      <c r="B17" s="259" t="s">
        <v>5103</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5073</v>
      </c>
      <c r="B18" s="260" t="s">
        <v>5103</v>
      </c>
      <c r="C18" s="261" t="s">
        <v>5104</v>
      </c>
      <c r="D18" s="264" t="s">
        <v>5105</v>
      </c>
      <c r="E18" s="265" t="s">
        <v>5106</v>
      </c>
      <c r="F18" s="268" t="s">
        <v>5107</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5073</v>
      </c>
      <c r="B19" s="260" t="s">
        <v>5103</v>
      </c>
      <c r="C19" s="261" t="s">
        <v>5108</v>
      </c>
      <c r="D19" s="264" t="s">
        <v>5109</v>
      </c>
      <c r="E19" s="265" t="s">
        <v>5106</v>
      </c>
      <c r="F19" s="268" t="s">
        <v>5107</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5073</v>
      </c>
      <c r="B20" s="260" t="s">
        <v>5103</v>
      </c>
      <c r="C20" s="261" t="s">
        <v>5110</v>
      </c>
      <c r="D20" s="264" t="s">
        <v>5111</v>
      </c>
      <c r="E20" s="265" t="s">
        <v>5106</v>
      </c>
      <c r="F20" s="268" t="s">
        <v>5107</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5073</v>
      </c>
      <c r="B21" s="260" t="s">
        <v>5103</v>
      </c>
      <c r="C21" s="261" t="s">
        <v>5112</v>
      </c>
      <c r="D21" s="264" t="s">
        <v>5113</v>
      </c>
      <c r="E21" s="265" t="s">
        <v>5106</v>
      </c>
      <c r="F21" s="268" t="s">
        <v>5107</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5073</v>
      </c>
      <c r="B22" s="260" t="s">
        <v>5103</v>
      </c>
      <c r="C22" s="261" t="s">
        <v>5114</v>
      </c>
      <c r="D22" s="264" t="s">
        <v>5115</v>
      </c>
      <c r="E22" s="265" t="s">
        <v>5106</v>
      </c>
      <c r="F22" s="268" t="s">
        <v>5107</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5073</v>
      </c>
      <c r="B23" s="260" t="s">
        <v>5103</v>
      </c>
      <c r="C23" s="261" t="s">
        <v>5116</v>
      </c>
      <c r="D23" s="264" t="s">
        <v>5117</v>
      </c>
      <c r="E23" s="265" t="s">
        <v>5077</v>
      </c>
      <c r="F23" s="268" t="s">
        <v>5078</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5073</v>
      </c>
      <c r="B24" s="260" t="s">
        <v>5103</v>
      </c>
      <c r="C24" s="261" t="s">
        <v>5118</v>
      </c>
      <c r="D24" s="264" t="s">
        <v>5119</v>
      </c>
      <c r="E24" s="265" t="s">
        <v>5077</v>
      </c>
      <c r="F24" s="268" t="s">
        <v>5078</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5073</v>
      </c>
      <c r="B25" s="260" t="s">
        <v>5103</v>
      </c>
      <c r="C25" s="261" t="s">
        <v>5120</v>
      </c>
      <c r="D25" s="264" t="s">
        <v>5121</v>
      </c>
      <c r="E25" s="265" t="s">
        <v>5077</v>
      </c>
      <c r="F25" s="268" t="s">
        <v>5122</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5073</v>
      </c>
      <c r="B26" s="260" t="s">
        <v>5103</v>
      </c>
      <c r="C26" s="261" t="s">
        <v>5123</v>
      </c>
      <c r="D26" s="264" t="s">
        <v>5124</v>
      </c>
      <c r="E26" s="265" t="s">
        <v>5077</v>
      </c>
      <c r="F26" s="268" t="s">
        <v>5122</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5073</v>
      </c>
      <c r="B27" s="260" t="s">
        <v>5103</v>
      </c>
      <c r="C27" s="261" t="s">
        <v>5125</v>
      </c>
      <c r="D27" s="264" t="s">
        <v>5126</v>
      </c>
      <c r="E27" s="265" t="s">
        <v>5077</v>
      </c>
      <c r="F27" s="268" t="s">
        <v>5122</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5073</v>
      </c>
      <c r="B28" s="260" t="s">
        <v>5103</v>
      </c>
      <c r="C28" s="261" t="s">
        <v>5127</v>
      </c>
      <c r="D28" s="264" t="s">
        <v>5128</v>
      </c>
      <c r="E28" s="265" t="s">
        <v>5077</v>
      </c>
      <c r="F28" s="268" t="s">
        <v>5122</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5073</v>
      </c>
      <c r="B29" s="260" t="s">
        <v>5103</v>
      </c>
      <c r="C29" s="261" t="s">
        <v>5129</v>
      </c>
      <c r="D29" s="264" t="s">
        <v>5130</v>
      </c>
      <c r="E29" s="265" t="s">
        <v>5077</v>
      </c>
      <c r="F29" s="268" t="s">
        <v>5122</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5073</v>
      </c>
      <c r="B30" s="260" t="s">
        <v>5103</v>
      </c>
      <c r="C30" s="261" t="s">
        <v>5131</v>
      </c>
      <c r="D30" s="264" t="s">
        <v>5132</v>
      </c>
      <c r="E30" s="265" t="s">
        <v>5077</v>
      </c>
      <c r="F30" s="268" t="s">
        <v>5122</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5073</v>
      </c>
      <c r="B31" s="260" t="s">
        <v>5103</v>
      </c>
      <c r="C31" s="261" t="s">
        <v>5133</v>
      </c>
      <c r="D31" s="264" t="s">
        <v>5134</v>
      </c>
      <c r="E31" s="265" t="s">
        <v>5077</v>
      </c>
      <c r="F31" s="268" t="s">
        <v>5122</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5073</v>
      </c>
      <c r="B32" s="260" t="s">
        <v>5103</v>
      </c>
      <c r="C32" s="261" t="s">
        <v>5135</v>
      </c>
      <c r="D32" s="264" t="s">
        <v>5136</v>
      </c>
      <c r="E32" s="265" t="s">
        <v>5077</v>
      </c>
      <c r="F32" s="268" t="s">
        <v>5122</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5073</v>
      </c>
      <c r="B33" s="260" t="s">
        <v>5103</v>
      </c>
      <c r="C33" s="261" t="s">
        <v>5137</v>
      </c>
      <c r="D33" s="264" t="s">
        <v>5138</v>
      </c>
      <c r="E33" s="265" t="s">
        <v>5106</v>
      </c>
      <c r="F33" s="268" t="s">
        <v>5107</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5073</v>
      </c>
      <c r="B34" s="260" t="s">
        <v>5103</v>
      </c>
      <c r="C34" s="261" t="s">
        <v>5139</v>
      </c>
      <c r="D34" s="264" t="s">
        <v>5140</v>
      </c>
      <c r="E34" s="265" t="s">
        <v>5077</v>
      </c>
      <c r="F34" s="268" t="s">
        <v>5122</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5073</v>
      </c>
      <c r="B35" s="259" t="s">
        <v>5141</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5073</v>
      </c>
      <c r="B36" s="260" t="s">
        <v>5141</v>
      </c>
      <c r="C36" s="261" t="s">
        <v>5142</v>
      </c>
      <c r="D36" s="264" t="s">
        <v>5143</v>
      </c>
      <c r="E36" s="265" t="s">
        <v>5077</v>
      </c>
      <c r="F36" s="268" t="s">
        <v>5122</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5073</v>
      </c>
      <c r="B37" s="260" t="s">
        <v>5141</v>
      </c>
      <c r="C37" s="261" t="s">
        <v>5144</v>
      </c>
      <c r="D37" s="264" t="s">
        <v>5145</v>
      </c>
      <c r="E37" s="265" t="s">
        <v>5077</v>
      </c>
      <c r="F37" s="268" t="s">
        <v>5146</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5073</v>
      </c>
      <c r="B38" s="260" t="s">
        <v>5141</v>
      </c>
      <c r="C38" s="261" t="s">
        <v>5147</v>
      </c>
      <c r="D38" s="264" t="s">
        <v>5148</v>
      </c>
      <c r="E38" s="265" t="s">
        <v>5077</v>
      </c>
      <c r="F38" s="268" t="s">
        <v>5146</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5073</v>
      </c>
      <c r="B39" s="260" t="s">
        <v>5141</v>
      </c>
      <c r="C39" s="261" t="s">
        <v>5149</v>
      </c>
      <c r="D39" s="264" t="s">
        <v>5150</v>
      </c>
      <c r="E39" s="265" t="s">
        <v>5077</v>
      </c>
      <c r="F39" s="268" t="s">
        <v>5146</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5073</v>
      </c>
      <c r="B40" s="260" t="s">
        <v>5141</v>
      </c>
      <c r="C40" s="261" t="s">
        <v>5151</v>
      </c>
      <c r="D40" s="264" t="s">
        <v>5152</v>
      </c>
      <c r="E40" s="265" t="s">
        <v>5077</v>
      </c>
      <c r="F40" s="268" t="s">
        <v>5146</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5073</v>
      </c>
      <c r="B41" s="260" t="s">
        <v>5141</v>
      </c>
      <c r="C41" s="261" t="s">
        <v>5153</v>
      </c>
      <c r="D41" s="264" t="s">
        <v>5154</v>
      </c>
      <c r="E41" s="265" t="s">
        <v>5077</v>
      </c>
      <c r="F41" s="268" t="s">
        <v>5146</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5073</v>
      </c>
      <c r="B42" s="260" t="s">
        <v>5141</v>
      </c>
      <c r="C42" s="261" t="s">
        <v>5155</v>
      </c>
      <c r="D42" s="264" t="s">
        <v>5156</v>
      </c>
      <c r="E42" s="265" t="s">
        <v>5077</v>
      </c>
      <c r="F42" s="268" t="s">
        <v>5146</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5073</v>
      </c>
      <c r="B43" s="260" t="s">
        <v>5141</v>
      </c>
      <c r="C43" s="261" t="s">
        <v>5157</v>
      </c>
      <c r="D43" s="264" t="s">
        <v>5158</v>
      </c>
      <c r="E43" s="265" t="s">
        <v>5077</v>
      </c>
      <c r="F43" s="268" t="s">
        <v>5146</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5073</v>
      </c>
      <c r="B44" s="260" t="s">
        <v>5141</v>
      </c>
      <c r="C44" s="261" t="s">
        <v>5159</v>
      </c>
      <c r="D44" s="264" t="s">
        <v>5160</v>
      </c>
      <c r="E44" s="265" t="s">
        <v>5077</v>
      </c>
      <c r="F44" s="268" t="s">
        <v>5146</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5073</v>
      </c>
      <c r="B45" s="260" t="s">
        <v>5141</v>
      </c>
      <c r="C45" s="261" t="s">
        <v>5161</v>
      </c>
      <c r="D45" s="264" t="s">
        <v>5162</v>
      </c>
      <c r="E45" s="265" t="s">
        <v>5077</v>
      </c>
      <c r="F45" s="268" t="s">
        <v>5146</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5073</v>
      </c>
      <c r="B46" s="260" t="s">
        <v>5141</v>
      </c>
      <c r="C46" s="261" t="s">
        <v>5163</v>
      </c>
      <c r="D46" s="264" t="s">
        <v>5164</v>
      </c>
      <c r="E46" s="265" t="s">
        <v>5077</v>
      </c>
      <c r="F46" s="268" t="s">
        <v>5146</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5073</v>
      </c>
      <c r="B47" s="260" t="s">
        <v>5141</v>
      </c>
      <c r="C47" s="261" t="s">
        <v>5165</v>
      </c>
      <c r="D47" s="264" t="s">
        <v>5166</v>
      </c>
      <c r="E47" s="265" t="s">
        <v>5077</v>
      </c>
      <c r="F47" s="268" t="s">
        <v>5146</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5073</v>
      </c>
      <c r="B48" s="260" t="s">
        <v>5141</v>
      </c>
      <c r="C48" s="261" t="s">
        <v>5167</v>
      </c>
      <c r="D48" s="264" t="s">
        <v>5168</v>
      </c>
      <c r="E48" s="265" t="s">
        <v>5077</v>
      </c>
      <c r="F48" s="268" t="s">
        <v>5146</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5073</v>
      </c>
      <c r="B49" s="260" t="s">
        <v>5141</v>
      </c>
      <c r="C49" s="261" t="s">
        <v>5169</v>
      </c>
      <c r="D49" s="264" t="s">
        <v>5170</v>
      </c>
      <c r="E49" s="265" t="s">
        <v>5077</v>
      </c>
      <c r="F49" s="268" t="s">
        <v>5146</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5073</v>
      </c>
      <c r="B50" s="259" t="s">
        <v>2343</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5073</v>
      </c>
      <c r="B51" s="260" t="s">
        <v>2343</v>
      </c>
      <c r="C51" s="261" t="s">
        <v>5171</v>
      </c>
      <c r="D51" s="264" t="s">
        <v>5172</v>
      </c>
      <c r="E51" s="265" t="s">
        <v>5173</v>
      </c>
      <c r="F51" s="268" t="s">
        <v>5174</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5073</v>
      </c>
      <c r="B52" s="260" t="s">
        <v>2343</v>
      </c>
      <c r="C52" s="261" t="s">
        <v>5175</v>
      </c>
      <c r="D52" s="264" t="s">
        <v>5176</v>
      </c>
      <c r="E52" s="265" t="s">
        <v>5173</v>
      </c>
      <c r="F52" s="268" t="s">
        <v>5174</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5073</v>
      </c>
      <c r="B53" s="260" t="s">
        <v>2343</v>
      </c>
      <c r="C53" s="261" t="s">
        <v>5177</v>
      </c>
      <c r="D53" s="264" t="s">
        <v>5178</v>
      </c>
      <c r="E53" s="265" t="s">
        <v>5173</v>
      </c>
      <c r="F53" s="268" t="s">
        <v>5174</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5073</v>
      </c>
      <c r="B54" s="260" t="s">
        <v>2343</v>
      </c>
      <c r="C54" s="261" t="s">
        <v>5179</v>
      </c>
      <c r="D54" s="264" t="s">
        <v>5180</v>
      </c>
      <c r="E54" s="265" t="s">
        <v>5173</v>
      </c>
      <c r="F54" s="268" t="s">
        <v>5174</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5073</v>
      </c>
      <c r="B55" s="260" t="s">
        <v>2343</v>
      </c>
      <c r="C55" s="261" t="s">
        <v>5181</v>
      </c>
      <c r="D55" s="264" t="s">
        <v>5182</v>
      </c>
      <c r="E55" s="265" t="s">
        <v>5173</v>
      </c>
      <c r="F55" s="268" t="s">
        <v>5174</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5073</v>
      </c>
      <c r="B56" s="260" t="s">
        <v>2343</v>
      </c>
      <c r="C56" s="261" t="s">
        <v>5183</v>
      </c>
      <c r="D56" s="264" t="s">
        <v>5184</v>
      </c>
      <c r="E56" s="265" t="s">
        <v>5173</v>
      </c>
      <c r="F56" s="268" t="s">
        <v>5174</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5073</v>
      </c>
      <c r="B57" s="260" t="s">
        <v>2343</v>
      </c>
      <c r="C57" s="261" t="s">
        <v>5185</v>
      </c>
      <c r="D57" s="264" t="s">
        <v>5186</v>
      </c>
      <c r="E57" s="265" t="s">
        <v>5173</v>
      </c>
      <c r="F57" s="268" t="s">
        <v>5174</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5073</v>
      </c>
      <c r="B58" s="260" t="s">
        <v>2343</v>
      </c>
      <c r="C58" s="261" t="s">
        <v>5187</v>
      </c>
      <c r="D58" s="264" t="s">
        <v>5188</v>
      </c>
      <c r="E58" s="265" t="s">
        <v>5077</v>
      </c>
      <c r="F58" s="268" t="s">
        <v>5174</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5073</v>
      </c>
      <c r="B59" s="260" t="s">
        <v>2343</v>
      </c>
      <c r="C59" s="261" t="s">
        <v>5189</v>
      </c>
      <c r="D59" s="264" t="s">
        <v>5190</v>
      </c>
      <c r="E59" s="265" t="s">
        <v>5077</v>
      </c>
      <c r="F59" s="268" t="s">
        <v>5174</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5073</v>
      </c>
      <c r="B60" s="259" t="s">
        <v>5191</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5073</v>
      </c>
      <c r="B61" s="260" t="s">
        <v>5191</v>
      </c>
      <c r="C61" s="261" t="s">
        <v>5192</v>
      </c>
      <c r="D61" s="264" t="s">
        <v>5193</v>
      </c>
      <c r="E61" s="265" t="s">
        <v>5077</v>
      </c>
      <c r="F61" s="268" t="s">
        <v>5194</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5073</v>
      </c>
      <c r="B62" s="260" t="s">
        <v>5191</v>
      </c>
      <c r="C62" s="261" t="s">
        <v>5195</v>
      </c>
      <c r="D62" s="264" t="s">
        <v>5196</v>
      </c>
      <c r="E62" s="265" t="s">
        <v>5077</v>
      </c>
      <c r="F62" s="268" t="s">
        <v>5194</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5073</v>
      </c>
      <c r="B63" s="260" t="s">
        <v>5191</v>
      </c>
      <c r="C63" s="261" t="s">
        <v>5197</v>
      </c>
      <c r="D63" s="264" t="s">
        <v>5198</v>
      </c>
      <c r="E63" s="265" t="s">
        <v>5077</v>
      </c>
      <c r="F63" s="268" t="s">
        <v>5194</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5073</v>
      </c>
      <c r="B64" s="260" t="s">
        <v>5191</v>
      </c>
      <c r="C64" s="261" t="s">
        <v>5199</v>
      </c>
      <c r="D64" s="264" t="s">
        <v>5200</v>
      </c>
      <c r="E64" s="265" t="s">
        <v>5077</v>
      </c>
      <c r="F64" s="268" t="s">
        <v>5194</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5073</v>
      </c>
      <c r="B65" s="260" t="s">
        <v>5191</v>
      </c>
      <c r="C65" s="261" t="s">
        <v>5201</v>
      </c>
      <c r="D65" s="264" t="s">
        <v>5202</v>
      </c>
      <c r="E65" s="265" t="s">
        <v>5077</v>
      </c>
      <c r="F65" s="268" t="s">
        <v>5194</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5073</v>
      </c>
      <c r="B66" s="260" t="s">
        <v>5191</v>
      </c>
      <c r="C66" s="261" t="s">
        <v>5203</v>
      </c>
      <c r="D66" s="264" t="s">
        <v>5204</v>
      </c>
      <c r="E66" s="265" t="s">
        <v>5077</v>
      </c>
      <c r="F66" s="268" t="s">
        <v>5194</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5073</v>
      </c>
      <c r="B67" s="260" t="s">
        <v>5191</v>
      </c>
      <c r="C67" s="261" t="s">
        <v>5205</v>
      </c>
      <c r="D67" s="264" t="s">
        <v>5206</v>
      </c>
      <c r="E67" s="265" t="s">
        <v>5077</v>
      </c>
      <c r="F67" s="268" t="s">
        <v>5194</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5073</v>
      </c>
      <c r="B68" s="260" t="s">
        <v>5191</v>
      </c>
      <c r="C68" s="261" t="s">
        <v>5207</v>
      </c>
      <c r="D68" s="264" t="s">
        <v>5208</v>
      </c>
      <c r="E68" s="265" t="s">
        <v>5077</v>
      </c>
      <c r="F68" s="268" t="s">
        <v>5209</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5073</v>
      </c>
      <c r="B69" s="260" t="s">
        <v>5191</v>
      </c>
      <c r="C69" s="261" t="s">
        <v>5210</v>
      </c>
      <c r="D69" s="264" t="s">
        <v>5211</v>
      </c>
      <c r="E69" s="265" t="s">
        <v>5077</v>
      </c>
      <c r="F69" s="268" t="s">
        <v>5209</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5073</v>
      </c>
      <c r="B70" s="260" t="s">
        <v>5191</v>
      </c>
      <c r="C70" s="261" t="s">
        <v>5212</v>
      </c>
      <c r="D70" s="264" t="s">
        <v>5213</v>
      </c>
      <c r="E70" s="265" t="s">
        <v>5077</v>
      </c>
      <c r="F70" s="268" t="s">
        <v>5209</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5073</v>
      </c>
      <c r="B71" s="260" t="s">
        <v>5191</v>
      </c>
      <c r="C71" s="261" t="s">
        <v>5214</v>
      </c>
      <c r="D71" s="264" t="s">
        <v>5215</v>
      </c>
      <c r="E71" s="265" t="s">
        <v>5077</v>
      </c>
      <c r="F71" s="268" t="s">
        <v>5216</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5073</v>
      </c>
      <c r="B72" s="260" t="s">
        <v>5191</v>
      </c>
      <c r="C72" s="261" t="s">
        <v>5217</v>
      </c>
      <c r="D72" s="264" t="s">
        <v>5218</v>
      </c>
      <c r="E72" s="265" t="s">
        <v>5077</v>
      </c>
      <c r="F72" s="268" t="s">
        <v>5194</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5073</v>
      </c>
      <c r="B73" s="260" t="s">
        <v>5191</v>
      </c>
      <c r="C73" s="261" t="s">
        <v>5219</v>
      </c>
      <c r="D73" s="264" t="s">
        <v>5220</v>
      </c>
      <c r="E73" s="265" t="s">
        <v>5221</v>
      </c>
      <c r="F73" s="268" t="s">
        <v>5194</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5073</v>
      </c>
      <c r="B74" s="259" t="s">
        <v>5222</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5073</v>
      </c>
      <c r="B75" s="260" t="s">
        <v>5222</v>
      </c>
      <c r="C75" s="261" t="s">
        <v>5223</v>
      </c>
      <c r="D75" s="264" t="s">
        <v>5224</v>
      </c>
      <c r="E75" s="265" t="s">
        <v>5221</v>
      </c>
      <c r="F75" s="268" t="s">
        <v>5225</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5073</v>
      </c>
      <c r="B76" s="260" t="s">
        <v>5222</v>
      </c>
      <c r="C76" s="261" t="s">
        <v>5226</v>
      </c>
      <c r="D76" s="264" t="s">
        <v>5227</v>
      </c>
      <c r="E76" s="265" t="s">
        <v>5221</v>
      </c>
      <c r="F76" s="268" t="s">
        <v>5225</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5073</v>
      </c>
      <c r="B77" s="260" t="s">
        <v>5222</v>
      </c>
      <c r="C77" s="261" t="s">
        <v>5228</v>
      </c>
      <c r="D77" s="264" t="s">
        <v>5229</v>
      </c>
      <c r="E77" s="265" t="s">
        <v>5221</v>
      </c>
      <c r="F77" s="268" t="s">
        <v>5225</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5073</v>
      </c>
      <c r="B78" s="260" t="s">
        <v>5222</v>
      </c>
      <c r="C78" s="261" t="s">
        <v>5230</v>
      </c>
      <c r="D78" s="264" t="s">
        <v>5231</v>
      </c>
      <c r="E78" s="265" t="s">
        <v>5221</v>
      </c>
      <c r="F78" s="268" t="s">
        <v>5225</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5073</v>
      </c>
      <c r="B79" s="260" t="s">
        <v>5222</v>
      </c>
      <c r="C79" s="261" t="s">
        <v>5232</v>
      </c>
      <c r="D79" s="264" t="s">
        <v>5233</v>
      </c>
      <c r="E79" s="265" t="s">
        <v>5221</v>
      </c>
      <c r="F79" s="268" t="s">
        <v>5225</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5073</v>
      </c>
      <c r="B80" s="260" t="s">
        <v>5222</v>
      </c>
      <c r="C80" s="261" t="s">
        <v>5234</v>
      </c>
      <c r="D80" s="264" t="s">
        <v>5235</v>
      </c>
      <c r="E80" s="265" t="s">
        <v>5221</v>
      </c>
      <c r="F80" s="268" t="s">
        <v>5225</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5073</v>
      </c>
      <c r="B81" s="260" t="s">
        <v>5222</v>
      </c>
      <c r="C81" s="261" t="s">
        <v>5236</v>
      </c>
      <c r="D81" s="264" t="s">
        <v>5237</v>
      </c>
      <c r="E81" s="265" t="s">
        <v>5221</v>
      </c>
      <c r="F81" s="268" t="s">
        <v>5225</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5073</v>
      </c>
      <c r="B82" s="260" t="s">
        <v>5222</v>
      </c>
      <c r="C82" s="261" t="s">
        <v>5238</v>
      </c>
      <c r="D82" s="264" t="s">
        <v>5239</v>
      </c>
      <c r="E82" s="265" t="s">
        <v>5221</v>
      </c>
      <c r="F82" s="268" t="s">
        <v>5225</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5073</v>
      </c>
      <c r="B83" s="260" t="s">
        <v>5222</v>
      </c>
      <c r="C83" s="261" t="s">
        <v>5240</v>
      </c>
      <c r="D83" s="264" t="s">
        <v>5241</v>
      </c>
      <c r="E83" s="265" t="s">
        <v>5221</v>
      </c>
      <c r="F83" s="268" t="s">
        <v>5225</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5073</v>
      </c>
      <c r="B84" s="260" t="s">
        <v>5222</v>
      </c>
      <c r="C84" s="261" t="s">
        <v>5242</v>
      </c>
      <c r="D84" s="264" t="s">
        <v>5243</v>
      </c>
      <c r="E84" s="265" t="s">
        <v>5221</v>
      </c>
      <c r="F84" s="268" t="s">
        <v>5225</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5073</v>
      </c>
      <c r="B85" s="260" t="s">
        <v>5222</v>
      </c>
      <c r="C85" s="261" t="s">
        <v>5244</v>
      </c>
      <c r="D85" s="264" t="s">
        <v>5245</v>
      </c>
      <c r="E85" s="265" t="s">
        <v>5221</v>
      </c>
      <c r="F85" s="268" t="s">
        <v>5225</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5073</v>
      </c>
      <c r="B86" s="260" t="s">
        <v>5222</v>
      </c>
      <c r="C86" s="261" t="s">
        <v>5246</v>
      </c>
      <c r="D86" s="264" t="s">
        <v>5247</v>
      </c>
      <c r="E86" s="265" t="s">
        <v>5221</v>
      </c>
      <c r="F86" s="268" t="s">
        <v>5225</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5073</v>
      </c>
      <c r="B87" s="260" t="s">
        <v>5222</v>
      </c>
      <c r="C87" s="261" t="s">
        <v>5248</v>
      </c>
      <c r="D87" s="264" t="s">
        <v>5249</v>
      </c>
      <c r="E87" s="265" t="s">
        <v>5221</v>
      </c>
      <c r="F87" s="268" t="s">
        <v>5225</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5073</v>
      </c>
      <c r="B88" s="260" t="s">
        <v>5222</v>
      </c>
      <c r="C88" s="261" t="s">
        <v>5250</v>
      </c>
      <c r="D88" s="264" t="s">
        <v>5251</v>
      </c>
      <c r="E88" s="265" t="s">
        <v>5221</v>
      </c>
      <c r="F88" s="268" t="s">
        <v>5209</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5073</v>
      </c>
      <c r="B89" s="260" t="s">
        <v>5222</v>
      </c>
      <c r="C89" s="261" t="s">
        <v>5252</v>
      </c>
      <c r="D89" s="264" t="s">
        <v>5253</v>
      </c>
      <c r="E89" s="265" t="s">
        <v>5221</v>
      </c>
      <c r="F89" s="268" t="s">
        <v>5209</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5073</v>
      </c>
      <c r="B90" s="260" t="s">
        <v>5222</v>
      </c>
      <c r="C90" s="261" t="s">
        <v>5254</v>
      </c>
      <c r="D90" s="264" t="s">
        <v>5255</v>
      </c>
      <c r="E90" s="265" t="s">
        <v>5221</v>
      </c>
      <c r="F90" s="268" t="s">
        <v>5209</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5073</v>
      </c>
      <c r="B91" s="259" t="s">
        <v>5256</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5073</v>
      </c>
      <c r="B92" s="260" t="s">
        <v>5256</v>
      </c>
      <c r="C92" s="261" t="s">
        <v>5257</v>
      </c>
      <c r="D92" s="264" t="s">
        <v>5258</v>
      </c>
      <c r="E92" s="265" t="s">
        <v>5077</v>
      </c>
      <c r="F92" s="268" t="s">
        <v>5209</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5073</v>
      </c>
      <c r="B93" s="260" t="s">
        <v>5256</v>
      </c>
      <c r="C93" s="261" t="s">
        <v>5259</v>
      </c>
      <c r="D93" s="264" t="s">
        <v>5260</v>
      </c>
      <c r="E93" s="265" t="s">
        <v>5077</v>
      </c>
      <c r="F93" s="268" t="s">
        <v>5209</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5073</v>
      </c>
      <c r="B94" s="260" t="s">
        <v>5256</v>
      </c>
      <c r="C94" s="261" t="s">
        <v>5261</v>
      </c>
      <c r="D94" s="264" t="s">
        <v>5262</v>
      </c>
      <c r="E94" s="265" t="s">
        <v>5077</v>
      </c>
      <c r="F94" s="268" t="s">
        <v>5209</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5073</v>
      </c>
      <c r="B95" s="260" t="s">
        <v>5256</v>
      </c>
      <c r="C95" s="261" t="s">
        <v>5263</v>
      </c>
      <c r="D95" s="264" t="s">
        <v>5264</v>
      </c>
      <c r="E95" s="265" t="s">
        <v>5077</v>
      </c>
      <c r="F95" s="268" t="s">
        <v>5209</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5073</v>
      </c>
      <c r="B96" s="260" t="s">
        <v>5256</v>
      </c>
      <c r="C96" s="261" t="s">
        <v>5265</v>
      </c>
      <c r="D96" s="264" t="s">
        <v>5266</v>
      </c>
      <c r="E96" s="265" t="s">
        <v>5077</v>
      </c>
      <c r="F96" s="268" t="s">
        <v>5209</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5073</v>
      </c>
      <c r="B97" s="260" t="s">
        <v>5256</v>
      </c>
      <c r="C97" s="261" t="s">
        <v>5267</v>
      </c>
      <c r="D97" s="264" t="s">
        <v>5268</v>
      </c>
      <c r="E97" s="265" t="s">
        <v>5077</v>
      </c>
      <c r="F97" s="268" t="s">
        <v>5269</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5073</v>
      </c>
      <c r="B98" s="260" t="s">
        <v>5256</v>
      </c>
      <c r="C98" s="261" t="s">
        <v>5270</v>
      </c>
      <c r="D98" s="264" t="s">
        <v>5271</v>
      </c>
      <c r="E98" s="265" t="s">
        <v>5077</v>
      </c>
      <c r="F98" s="268" t="s">
        <v>5269</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5073</v>
      </c>
      <c r="B99" s="260" t="s">
        <v>5256</v>
      </c>
      <c r="C99" s="261" t="s">
        <v>5272</v>
      </c>
      <c r="D99" s="264" t="s">
        <v>5273</v>
      </c>
      <c r="E99" s="265" t="s">
        <v>5077</v>
      </c>
      <c r="F99" s="268" t="s">
        <v>5269</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5073</v>
      </c>
      <c r="B100" s="260" t="s">
        <v>5256</v>
      </c>
      <c r="C100" s="261" t="s">
        <v>5274</v>
      </c>
      <c r="D100" s="264" t="s">
        <v>5275</v>
      </c>
      <c r="E100" s="265" t="s">
        <v>5077</v>
      </c>
      <c r="F100" s="268" t="s">
        <v>5269</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5073</v>
      </c>
      <c r="B101" s="260" t="s">
        <v>5256</v>
      </c>
      <c r="C101" s="261" t="s">
        <v>5276</v>
      </c>
      <c r="D101" s="264" t="s">
        <v>5277</v>
      </c>
      <c r="E101" s="265" t="s">
        <v>5077</v>
      </c>
      <c r="F101" s="268" t="s">
        <v>5209</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5073</v>
      </c>
      <c r="B102" s="260" t="s">
        <v>5256</v>
      </c>
      <c r="C102" s="261" t="s">
        <v>5278</v>
      </c>
      <c r="D102" s="264" t="s">
        <v>5279</v>
      </c>
      <c r="E102" s="265" t="s">
        <v>5221</v>
      </c>
      <c r="F102" s="268" t="s">
        <v>5209</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5073</v>
      </c>
      <c r="B103" s="260" t="s">
        <v>5256</v>
      </c>
      <c r="C103" s="261" t="s">
        <v>5280</v>
      </c>
      <c r="D103" s="264" t="s">
        <v>5281</v>
      </c>
      <c r="E103" s="265" t="s">
        <v>5221</v>
      </c>
      <c r="F103" s="268" t="s">
        <v>5209</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5073</v>
      </c>
      <c r="B104" s="260" t="s">
        <v>5256</v>
      </c>
      <c r="C104" s="261" t="s">
        <v>5282</v>
      </c>
      <c r="D104" s="264" t="s">
        <v>5283</v>
      </c>
      <c r="E104" s="265" t="s">
        <v>5221</v>
      </c>
      <c r="F104" s="268" t="s">
        <v>5209</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5073</v>
      </c>
      <c r="B105" s="260" t="s">
        <v>5256</v>
      </c>
      <c r="C105" s="261" t="s">
        <v>5284</v>
      </c>
      <c r="D105" s="264" t="s">
        <v>5285</v>
      </c>
      <c r="E105" s="265" t="s">
        <v>5106</v>
      </c>
      <c r="F105" s="268" t="s">
        <v>5209</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5073</v>
      </c>
      <c r="B106" s="259" t="s">
        <v>5286</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5073</v>
      </c>
      <c r="B107" s="260" t="s">
        <v>5286</v>
      </c>
      <c r="C107" s="261" t="s">
        <v>5287</v>
      </c>
      <c r="D107" s="264" t="s">
        <v>5288</v>
      </c>
      <c r="E107" s="265" t="s">
        <v>5221</v>
      </c>
      <c r="F107" s="268" t="s">
        <v>5209</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5073</v>
      </c>
      <c r="B108" s="260" t="s">
        <v>5286</v>
      </c>
      <c r="C108" s="261" t="s">
        <v>5289</v>
      </c>
      <c r="D108" s="264" t="s">
        <v>5290</v>
      </c>
      <c r="E108" s="265" t="s">
        <v>5221</v>
      </c>
      <c r="F108" s="268" t="s">
        <v>5209</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5073</v>
      </c>
      <c r="B109" s="260" t="s">
        <v>5286</v>
      </c>
      <c r="C109" s="261" t="s">
        <v>5291</v>
      </c>
      <c r="D109" s="264" t="s">
        <v>5292</v>
      </c>
      <c r="E109" s="265" t="s">
        <v>5221</v>
      </c>
      <c r="F109" s="268" t="s">
        <v>5209</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5073</v>
      </c>
      <c r="B110" s="260" t="s">
        <v>5286</v>
      </c>
      <c r="C110" s="261" t="s">
        <v>5293</v>
      </c>
      <c r="D110" s="264" t="s">
        <v>5294</v>
      </c>
      <c r="E110" s="265" t="s">
        <v>5221</v>
      </c>
      <c r="F110" s="268" t="s">
        <v>5209</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5073</v>
      </c>
      <c r="B111" s="260" t="s">
        <v>5286</v>
      </c>
      <c r="C111" s="261" t="s">
        <v>5295</v>
      </c>
      <c r="D111" s="264" t="s">
        <v>5296</v>
      </c>
      <c r="E111" s="265" t="s">
        <v>5221</v>
      </c>
      <c r="F111" s="268" t="s">
        <v>5209</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5073</v>
      </c>
      <c r="B112" s="260" t="s">
        <v>5286</v>
      </c>
      <c r="C112" s="261" t="s">
        <v>5297</v>
      </c>
      <c r="D112" s="264" t="s">
        <v>5298</v>
      </c>
      <c r="E112" s="265" t="s">
        <v>5221</v>
      </c>
      <c r="F112" s="268" t="s">
        <v>5209</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5073</v>
      </c>
      <c r="B113" s="260" t="s">
        <v>5286</v>
      </c>
      <c r="C113" s="261" t="s">
        <v>5299</v>
      </c>
      <c r="D113" s="264" t="s">
        <v>5300</v>
      </c>
      <c r="E113" s="265" t="s">
        <v>5221</v>
      </c>
      <c r="F113" s="268" t="s">
        <v>5209</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5073</v>
      </c>
      <c r="B114" s="260" t="s">
        <v>5286</v>
      </c>
      <c r="C114" s="261" t="s">
        <v>5301</v>
      </c>
      <c r="D114" s="264" t="s">
        <v>5302</v>
      </c>
      <c r="E114" s="265" t="s">
        <v>5221</v>
      </c>
      <c r="F114" s="268" t="s">
        <v>5209</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5073</v>
      </c>
      <c r="B115" s="260" t="s">
        <v>5286</v>
      </c>
      <c r="C115" s="261" t="s">
        <v>5303</v>
      </c>
      <c r="D115" s="264" t="s">
        <v>5304</v>
      </c>
      <c r="E115" s="265" t="s">
        <v>5221</v>
      </c>
      <c r="F115" s="268" t="s">
        <v>5209</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5073</v>
      </c>
      <c r="B116" s="260" t="s">
        <v>5286</v>
      </c>
      <c r="C116" s="261" t="s">
        <v>5305</v>
      </c>
      <c r="D116" s="264" t="s">
        <v>5306</v>
      </c>
      <c r="E116" s="265" t="s">
        <v>5221</v>
      </c>
      <c r="F116" s="268" t="s">
        <v>5209</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5073</v>
      </c>
      <c r="B117" s="260" t="s">
        <v>5286</v>
      </c>
      <c r="C117" s="261" t="s">
        <v>5307</v>
      </c>
      <c r="D117" s="264" t="s">
        <v>5308</v>
      </c>
      <c r="E117" s="265" t="s">
        <v>5221</v>
      </c>
      <c r="F117" s="268" t="s">
        <v>5209</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5309</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5309</v>
      </c>
      <c r="B119" s="259" t="s">
        <v>5310</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5309</v>
      </c>
      <c r="B120" s="260" t="s">
        <v>5310</v>
      </c>
      <c r="C120" s="261" t="s">
        <v>5311</v>
      </c>
      <c r="D120" s="264" t="s">
        <v>5312</v>
      </c>
      <c r="E120" s="265" t="s">
        <v>5077</v>
      </c>
      <c r="F120" s="268" t="s">
        <v>5313</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5309</v>
      </c>
      <c r="B121" s="260" t="s">
        <v>5310</v>
      </c>
      <c r="C121" s="261" t="s">
        <v>5314</v>
      </c>
      <c r="D121" s="264" t="s">
        <v>5315</v>
      </c>
      <c r="E121" s="265" t="s">
        <v>5077</v>
      </c>
      <c r="F121" s="268" t="s">
        <v>5313</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5309</v>
      </c>
      <c r="B122" s="260" t="s">
        <v>5310</v>
      </c>
      <c r="C122" s="261" t="s">
        <v>5316</v>
      </c>
      <c r="D122" s="264" t="s">
        <v>5317</v>
      </c>
      <c r="E122" s="265" t="s">
        <v>5077</v>
      </c>
      <c r="F122" s="268" t="s">
        <v>5313</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5309</v>
      </c>
      <c r="B123" s="260" t="s">
        <v>5310</v>
      </c>
      <c r="C123" s="261" t="s">
        <v>5318</v>
      </c>
      <c r="D123" s="264" t="s">
        <v>5319</v>
      </c>
      <c r="E123" s="265" t="s">
        <v>5077</v>
      </c>
      <c r="F123" s="268" t="s">
        <v>5313</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5309</v>
      </c>
      <c r="B124" s="260" t="s">
        <v>5310</v>
      </c>
      <c r="C124" s="261" t="s">
        <v>5320</v>
      </c>
      <c r="D124" s="264" t="s">
        <v>5321</v>
      </c>
      <c r="E124" s="265" t="s">
        <v>5077</v>
      </c>
      <c r="F124" s="268" t="s">
        <v>5313</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5309</v>
      </c>
      <c r="B125" s="260" t="s">
        <v>5310</v>
      </c>
      <c r="C125" s="261" t="s">
        <v>5322</v>
      </c>
      <c r="D125" s="264" t="s">
        <v>5323</v>
      </c>
      <c r="E125" s="265" t="s">
        <v>5077</v>
      </c>
      <c r="F125" s="268" t="s">
        <v>5313</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5309</v>
      </c>
      <c r="B126" s="260" t="s">
        <v>5310</v>
      </c>
      <c r="C126" s="261" t="s">
        <v>5324</v>
      </c>
      <c r="D126" s="264" t="s">
        <v>5325</v>
      </c>
      <c r="E126" s="265" t="s">
        <v>5077</v>
      </c>
      <c r="F126" s="268" t="s">
        <v>5313</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5309</v>
      </c>
      <c r="B127" s="260" t="s">
        <v>5310</v>
      </c>
      <c r="C127" s="261" t="s">
        <v>5326</v>
      </c>
      <c r="D127" s="264" t="s">
        <v>5327</v>
      </c>
      <c r="E127" s="265" t="s">
        <v>5077</v>
      </c>
      <c r="F127" s="268" t="s">
        <v>5313</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5309</v>
      </c>
      <c r="B128" s="260" t="s">
        <v>5310</v>
      </c>
      <c r="C128" s="261" t="s">
        <v>5328</v>
      </c>
      <c r="D128" s="264" t="s">
        <v>5329</v>
      </c>
      <c r="E128" s="265" t="s">
        <v>5077</v>
      </c>
      <c r="F128" s="268" t="s">
        <v>5313</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5309</v>
      </c>
      <c r="B129" s="260" t="s">
        <v>5310</v>
      </c>
      <c r="C129" s="261" t="s">
        <v>5330</v>
      </c>
      <c r="D129" s="264" t="s">
        <v>5331</v>
      </c>
      <c r="E129" s="265" t="s">
        <v>5077</v>
      </c>
      <c r="F129" s="268" t="s">
        <v>5313</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5309</v>
      </c>
      <c r="B130" s="260" t="s">
        <v>5310</v>
      </c>
      <c r="C130" s="261" t="s">
        <v>5332</v>
      </c>
      <c r="D130" s="264" t="s">
        <v>5333</v>
      </c>
      <c r="E130" s="265" t="s">
        <v>5077</v>
      </c>
      <c r="F130" s="268" t="s">
        <v>5313</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5309</v>
      </c>
      <c r="B131" s="260" t="s">
        <v>5310</v>
      </c>
      <c r="C131" s="261" t="s">
        <v>5334</v>
      </c>
      <c r="D131" s="264" t="s">
        <v>5335</v>
      </c>
      <c r="E131" s="265" t="s">
        <v>5077</v>
      </c>
      <c r="F131" s="268" t="s">
        <v>5313</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5309</v>
      </c>
      <c r="B132" s="260" t="s">
        <v>5310</v>
      </c>
      <c r="C132" s="261" t="s">
        <v>5336</v>
      </c>
      <c r="D132" s="264" t="s">
        <v>5337</v>
      </c>
      <c r="E132" s="265" t="s">
        <v>5077</v>
      </c>
      <c r="F132" s="268" t="s">
        <v>5313</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5309</v>
      </c>
      <c r="B133" s="260" t="s">
        <v>5310</v>
      </c>
      <c r="C133" s="261" t="s">
        <v>5338</v>
      </c>
      <c r="D133" s="264" t="s">
        <v>5339</v>
      </c>
      <c r="E133" s="265" t="s">
        <v>5106</v>
      </c>
      <c r="F133" s="268" t="s">
        <v>5313</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5309</v>
      </c>
      <c r="B134" s="260" t="s">
        <v>5310</v>
      </c>
      <c r="C134" s="261" t="s">
        <v>5340</v>
      </c>
      <c r="D134" s="264" t="s">
        <v>5341</v>
      </c>
      <c r="E134" s="265" t="s">
        <v>5106</v>
      </c>
      <c r="F134" s="268" t="s">
        <v>5313</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5309</v>
      </c>
      <c r="B135" s="260" t="s">
        <v>5310</v>
      </c>
      <c r="C135" s="261" t="s">
        <v>5342</v>
      </c>
      <c r="D135" s="264" t="s">
        <v>5343</v>
      </c>
      <c r="E135" s="265" t="s">
        <v>5221</v>
      </c>
      <c r="F135" s="268" t="s">
        <v>5313</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5309</v>
      </c>
      <c r="B136" s="260" t="s">
        <v>5310</v>
      </c>
      <c r="C136" s="261" t="s">
        <v>5344</v>
      </c>
      <c r="D136" s="264" t="s">
        <v>5345</v>
      </c>
      <c r="E136" s="265" t="s">
        <v>5106</v>
      </c>
      <c r="F136" s="268" t="s">
        <v>5313</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5309</v>
      </c>
      <c r="B137" s="260" t="s">
        <v>5310</v>
      </c>
      <c r="C137" s="261" t="s">
        <v>5346</v>
      </c>
      <c r="D137" s="264" t="s">
        <v>5347</v>
      </c>
      <c r="E137" s="265" t="s">
        <v>5106</v>
      </c>
      <c r="F137" s="268" t="s">
        <v>5313</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5309</v>
      </c>
      <c r="B138" s="260" t="s">
        <v>5310</v>
      </c>
      <c r="C138" s="261" t="s">
        <v>5348</v>
      </c>
      <c r="D138" s="264" t="s">
        <v>5349</v>
      </c>
      <c r="E138" s="265" t="s">
        <v>5221</v>
      </c>
      <c r="F138" s="268" t="s">
        <v>5313</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5309</v>
      </c>
      <c r="B139" s="260" t="s">
        <v>5310</v>
      </c>
      <c r="C139" s="261" t="s">
        <v>5350</v>
      </c>
      <c r="D139" s="264" t="s">
        <v>5351</v>
      </c>
      <c r="E139" s="265" t="s">
        <v>5221</v>
      </c>
      <c r="F139" s="268" t="s">
        <v>5313</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5309</v>
      </c>
      <c r="B140" s="260" t="s">
        <v>5310</v>
      </c>
      <c r="C140" s="261" t="s">
        <v>5352</v>
      </c>
      <c r="D140" s="264" t="s">
        <v>5353</v>
      </c>
      <c r="E140" s="265" t="s">
        <v>5077</v>
      </c>
      <c r="F140" s="268" t="s">
        <v>5313</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5309</v>
      </c>
      <c r="B141" s="260" t="s">
        <v>5310</v>
      </c>
      <c r="C141" s="261" t="s">
        <v>5354</v>
      </c>
      <c r="D141" s="264" t="s">
        <v>5355</v>
      </c>
      <c r="E141" s="265" t="s">
        <v>5356</v>
      </c>
      <c r="F141" s="268" t="s">
        <v>5357</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5309</v>
      </c>
      <c r="B142" s="260" t="s">
        <v>5310</v>
      </c>
      <c r="C142" s="261" t="s">
        <v>5358</v>
      </c>
      <c r="D142" s="264" t="s">
        <v>5359</v>
      </c>
      <c r="E142" s="265" t="s">
        <v>5356</v>
      </c>
      <c r="F142" s="268" t="s">
        <v>5357</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5309</v>
      </c>
      <c r="B143" s="260" t="s">
        <v>5310</v>
      </c>
      <c r="C143" s="261" t="s">
        <v>5360</v>
      </c>
      <c r="D143" s="264" t="s">
        <v>5361</v>
      </c>
      <c r="E143" s="265" t="s">
        <v>5356</v>
      </c>
      <c r="F143" s="268" t="s">
        <v>5357</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5309</v>
      </c>
      <c r="B144" s="260" t="s">
        <v>5310</v>
      </c>
      <c r="C144" s="261" t="s">
        <v>5362</v>
      </c>
      <c r="D144" s="264" t="s">
        <v>5363</v>
      </c>
      <c r="E144" s="265" t="s">
        <v>5173</v>
      </c>
      <c r="F144" s="268" t="s">
        <v>5357</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5309</v>
      </c>
      <c r="B145" s="260" t="s">
        <v>5310</v>
      </c>
      <c r="C145" s="261" t="s">
        <v>5364</v>
      </c>
      <c r="D145" s="264" t="s">
        <v>5365</v>
      </c>
      <c r="E145" s="265" t="s">
        <v>5173</v>
      </c>
      <c r="F145" s="268" t="s">
        <v>5357</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5309</v>
      </c>
      <c r="B146" s="260" t="s">
        <v>5310</v>
      </c>
      <c r="C146" s="261" t="s">
        <v>5366</v>
      </c>
      <c r="D146" s="264" t="s">
        <v>5367</v>
      </c>
      <c r="E146" s="265" t="s">
        <v>5173</v>
      </c>
      <c r="F146" s="268" t="s">
        <v>5357</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5309</v>
      </c>
      <c r="B147" s="259" t="s">
        <v>5368</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5309</v>
      </c>
      <c r="B148" s="260" t="s">
        <v>5368</v>
      </c>
      <c r="C148" s="261" t="s">
        <v>5369</v>
      </c>
      <c r="D148" s="264" t="s">
        <v>5370</v>
      </c>
      <c r="E148" s="265" t="s">
        <v>5106</v>
      </c>
      <c r="F148" s="268" t="s">
        <v>5371</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5309</v>
      </c>
      <c r="B149" s="260" t="s">
        <v>5368</v>
      </c>
      <c r="C149" s="261" t="s">
        <v>5372</v>
      </c>
      <c r="D149" s="264" t="s">
        <v>5373</v>
      </c>
      <c r="E149" s="265" t="s">
        <v>5106</v>
      </c>
      <c r="F149" s="268" t="s">
        <v>5371</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5309</v>
      </c>
      <c r="B150" s="260" t="s">
        <v>5368</v>
      </c>
      <c r="C150" s="261" t="s">
        <v>5374</v>
      </c>
      <c r="D150" s="264" t="s">
        <v>5375</v>
      </c>
      <c r="E150" s="265" t="s">
        <v>5106</v>
      </c>
      <c r="F150" s="268" t="s">
        <v>5371</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5309</v>
      </c>
      <c r="B151" s="260" t="s">
        <v>5368</v>
      </c>
      <c r="C151" s="261" t="s">
        <v>5376</v>
      </c>
      <c r="D151" s="264" t="s">
        <v>5377</v>
      </c>
      <c r="E151" s="265" t="s">
        <v>5106</v>
      </c>
      <c r="F151" s="268" t="s">
        <v>5371</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5309</v>
      </c>
      <c r="B152" s="260" t="s">
        <v>5368</v>
      </c>
      <c r="C152" s="261" t="s">
        <v>5378</v>
      </c>
      <c r="D152" s="264" t="s">
        <v>5379</v>
      </c>
      <c r="E152" s="265" t="s">
        <v>5106</v>
      </c>
      <c r="F152" s="268" t="s">
        <v>5371</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5309</v>
      </c>
      <c r="B153" s="260" t="s">
        <v>5368</v>
      </c>
      <c r="C153" s="261" t="s">
        <v>5380</v>
      </c>
      <c r="D153" s="264" t="s">
        <v>5381</v>
      </c>
      <c r="E153" s="265" t="s">
        <v>5106</v>
      </c>
      <c r="F153" s="268" t="s">
        <v>5371</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5309</v>
      </c>
      <c r="B154" s="260" t="s">
        <v>5368</v>
      </c>
      <c r="C154" s="261" t="s">
        <v>5382</v>
      </c>
      <c r="D154" s="264" t="s">
        <v>5383</v>
      </c>
      <c r="E154" s="265" t="s">
        <v>5106</v>
      </c>
      <c r="F154" s="268" t="s">
        <v>5371</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5309</v>
      </c>
      <c r="B155" s="260" t="s">
        <v>5368</v>
      </c>
      <c r="C155" s="261" t="s">
        <v>5384</v>
      </c>
      <c r="D155" s="264" t="s">
        <v>5385</v>
      </c>
      <c r="E155" s="265" t="s">
        <v>5106</v>
      </c>
      <c r="F155" s="268" t="s">
        <v>5371</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5309</v>
      </c>
      <c r="B156" s="260" t="s">
        <v>5368</v>
      </c>
      <c r="C156" s="261" t="s">
        <v>5386</v>
      </c>
      <c r="D156" s="264" t="s">
        <v>5387</v>
      </c>
      <c r="E156" s="265" t="s">
        <v>5106</v>
      </c>
      <c r="F156" s="268" t="s">
        <v>5371</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5309</v>
      </c>
      <c r="B157" s="260" t="s">
        <v>5368</v>
      </c>
      <c r="C157" s="261" t="s">
        <v>5388</v>
      </c>
      <c r="D157" s="264" t="s">
        <v>5389</v>
      </c>
      <c r="E157" s="265" t="s">
        <v>5106</v>
      </c>
      <c r="F157" s="268" t="s">
        <v>5371</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5309</v>
      </c>
      <c r="B158" s="260" t="s">
        <v>5368</v>
      </c>
      <c r="C158" s="261" t="s">
        <v>5390</v>
      </c>
      <c r="D158" s="264" t="s">
        <v>5391</v>
      </c>
      <c r="E158" s="265" t="s">
        <v>5106</v>
      </c>
      <c r="F158" s="268" t="s">
        <v>5371</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5309</v>
      </c>
      <c r="B159" s="260" t="s">
        <v>5368</v>
      </c>
      <c r="C159" s="261" t="s">
        <v>5392</v>
      </c>
      <c r="D159" s="264" t="s">
        <v>5393</v>
      </c>
      <c r="E159" s="265" t="s">
        <v>5106</v>
      </c>
      <c r="F159" s="268" t="s">
        <v>5371</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5309</v>
      </c>
      <c r="B160" s="260" t="s">
        <v>5368</v>
      </c>
      <c r="C160" s="261" t="s">
        <v>5394</v>
      </c>
      <c r="D160" s="264" t="s">
        <v>5395</v>
      </c>
      <c r="E160" s="265" t="s">
        <v>5106</v>
      </c>
      <c r="F160" s="268" t="s">
        <v>5396</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5309</v>
      </c>
      <c r="B161" s="260" t="s">
        <v>5368</v>
      </c>
      <c r="C161" s="261" t="s">
        <v>5397</v>
      </c>
      <c r="D161" s="264" t="s">
        <v>5398</v>
      </c>
      <c r="E161" s="265" t="s">
        <v>5106</v>
      </c>
      <c r="F161" s="268" t="s">
        <v>5396</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5309</v>
      </c>
      <c r="B162" s="260" t="s">
        <v>5368</v>
      </c>
      <c r="C162" s="261" t="s">
        <v>5399</v>
      </c>
      <c r="D162" s="264" t="s">
        <v>5400</v>
      </c>
      <c r="E162" s="265" t="s">
        <v>5106</v>
      </c>
      <c r="F162" s="268" t="s">
        <v>5396</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5309</v>
      </c>
      <c r="B163" s="260" t="s">
        <v>5368</v>
      </c>
      <c r="C163" s="261" t="s">
        <v>5401</v>
      </c>
      <c r="D163" s="264" t="s">
        <v>5402</v>
      </c>
      <c r="E163" s="265" t="s">
        <v>5106</v>
      </c>
      <c r="F163" s="268" t="s">
        <v>5396</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5309</v>
      </c>
      <c r="B164" s="260" t="s">
        <v>5368</v>
      </c>
      <c r="C164" s="261" t="s">
        <v>5403</v>
      </c>
      <c r="D164" s="264" t="s">
        <v>5404</v>
      </c>
      <c r="E164" s="265" t="s">
        <v>5106</v>
      </c>
      <c r="F164" s="268" t="s">
        <v>5396</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5309</v>
      </c>
      <c r="B165" s="259" t="s">
        <v>5405</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5309</v>
      </c>
      <c r="B166" s="260" t="s">
        <v>5405</v>
      </c>
      <c r="C166" s="261" t="s">
        <v>5406</v>
      </c>
      <c r="D166" s="264" t="s">
        <v>5407</v>
      </c>
      <c r="E166" s="265" t="s">
        <v>5077</v>
      </c>
      <c r="F166" s="268" t="s">
        <v>5408</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5309</v>
      </c>
      <c r="B167" s="260" t="s">
        <v>5405</v>
      </c>
      <c r="C167" s="261" t="s">
        <v>5409</v>
      </c>
      <c r="D167" s="264" t="s">
        <v>5410</v>
      </c>
      <c r="E167" s="265" t="s">
        <v>5221</v>
      </c>
      <c r="F167" s="268" t="s">
        <v>5408</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5309</v>
      </c>
      <c r="B168" s="260" t="s">
        <v>5405</v>
      </c>
      <c r="C168" s="261" t="s">
        <v>5411</v>
      </c>
      <c r="D168" s="264" t="s">
        <v>5412</v>
      </c>
      <c r="E168" s="265" t="s">
        <v>5173</v>
      </c>
      <c r="F168" s="268" t="s">
        <v>5408</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5309</v>
      </c>
      <c r="B169" s="260" t="s">
        <v>5405</v>
      </c>
      <c r="C169" s="261" t="s">
        <v>5413</v>
      </c>
      <c r="D169" s="264" t="s">
        <v>5414</v>
      </c>
      <c r="E169" s="265" t="s">
        <v>5173</v>
      </c>
      <c r="F169" s="268" t="s">
        <v>5408</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5309</v>
      </c>
      <c r="B170" s="260" t="s">
        <v>5405</v>
      </c>
      <c r="C170" s="261" t="s">
        <v>5415</v>
      </c>
      <c r="D170" s="264" t="s">
        <v>5416</v>
      </c>
      <c r="E170" s="265" t="s">
        <v>5221</v>
      </c>
      <c r="F170" s="268" t="s">
        <v>5408</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5309</v>
      </c>
      <c r="B171" s="260" t="s">
        <v>5405</v>
      </c>
      <c r="C171" s="261" t="s">
        <v>5417</v>
      </c>
      <c r="D171" s="264" t="s">
        <v>5418</v>
      </c>
      <c r="E171" s="265" t="s">
        <v>5106</v>
      </c>
      <c r="F171" s="268" t="s">
        <v>5408</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5309</v>
      </c>
      <c r="B172" s="260" t="s">
        <v>5405</v>
      </c>
      <c r="C172" s="261" t="s">
        <v>5419</v>
      </c>
      <c r="D172" s="264" t="s">
        <v>5420</v>
      </c>
      <c r="E172" s="265" t="s">
        <v>5173</v>
      </c>
      <c r="F172" s="268" t="s">
        <v>5408</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5309</v>
      </c>
      <c r="B173" s="260" t="s">
        <v>5405</v>
      </c>
      <c r="C173" s="261" t="s">
        <v>5421</v>
      </c>
      <c r="D173" s="264" t="s">
        <v>5422</v>
      </c>
      <c r="E173" s="265" t="s">
        <v>5106</v>
      </c>
      <c r="F173" s="268" t="s">
        <v>5408</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5309</v>
      </c>
      <c r="B174" s="260" t="s">
        <v>5405</v>
      </c>
      <c r="C174" s="261" t="s">
        <v>5423</v>
      </c>
      <c r="D174" s="264" t="s">
        <v>5424</v>
      </c>
      <c r="E174" s="265" t="s">
        <v>5173</v>
      </c>
      <c r="F174" s="268" t="s">
        <v>5408</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5309</v>
      </c>
      <c r="B175" s="260" t="s">
        <v>5405</v>
      </c>
      <c r="C175" s="261" t="s">
        <v>5425</v>
      </c>
      <c r="D175" s="264" t="s">
        <v>5426</v>
      </c>
      <c r="E175" s="265" t="s">
        <v>5106</v>
      </c>
      <c r="F175" s="268" t="s">
        <v>5408</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5309</v>
      </c>
      <c r="B176" s="260" t="s">
        <v>5405</v>
      </c>
      <c r="C176" s="261" t="s">
        <v>5427</v>
      </c>
      <c r="D176" s="264" t="s">
        <v>5428</v>
      </c>
      <c r="E176" s="265" t="s">
        <v>5077</v>
      </c>
      <c r="F176" s="268" t="s">
        <v>5408</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5309</v>
      </c>
      <c r="B177" s="260" t="s">
        <v>5405</v>
      </c>
      <c r="C177" s="261" t="s">
        <v>5429</v>
      </c>
      <c r="D177" s="264" t="s">
        <v>5430</v>
      </c>
      <c r="E177" s="265" t="s">
        <v>5077</v>
      </c>
      <c r="F177" s="268" t="s">
        <v>5408</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5309</v>
      </c>
      <c r="B178" s="260" t="s">
        <v>5405</v>
      </c>
      <c r="C178" s="261" t="s">
        <v>5431</v>
      </c>
      <c r="D178" s="264" t="s">
        <v>5432</v>
      </c>
      <c r="E178" s="265" t="s">
        <v>5106</v>
      </c>
      <c r="F178" s="268" t="s">
        <v>5408</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5309</v>
      </c>
      <c r="B179" s="260" t="s">
        <v>5405</v>
      </c>
      <c r="C179" s="261" t="s">
        <v>5433</v>
      </c>
      <c r="D179" s="264" t="s">
        <v>5434</v>
      </c>
      <c r="E179" s="265" t="s">
        <v>5221</v>
      </c>
      <c r="F179" s="268" t="s">
        <v>5408</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5309</v>
      </c>
      <c r="B180" s="260" t="s">
        <v>5405</v>
      </c>
      <c r="C180" s="261" t="s">
        <v>5435</v>
      </c>
      <c r="D180" s="264" t="s">
        <v>5436</v>
      </c>
      <c r="E180" s="265" t="s">
        <v>5221</v>
      </c>
      <c r="F180" s="268" t="s">
        <v>5408</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5309</v>
      </c>
      <c r="B181" s="259" t="s">
        <v>5437</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5309</v>
      </c>
      <c r="B182" s="260" t="s">
        <v>5437</v>
      </c>
      <c r="C182" s="261" t="s">
        <v>5438</v>
      </c>
      <c r="D182" s="264" t="s">
        <v>5439</v>
      </c>
      <c r="E182" s="265" t="s">
        <v>5077</v>
      </c>
      <c r="F182" s="268" t="s">
        <v>5440</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5309</v>
      </c>
      <c r="B183" s="260" t="s">
        <v>5437</v>
      </c>
      <c r="C183" s="261" t="s">
        <v>5441</v>
      </c>
      <c r="D183" s="264" t="s">
        <v>5442</v>
      </c>
      <c r="E183" s="265" t="s">
        <v>5077</v>
      </c>
      <c r="F183" s="268" t="s">
        <v>5440</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5309</v>
      </c>
      <c r="B184" s="260" t="s">
        <v>5437</v>
      </c>
      <c r="C184" s="261" t="s">
        <v>5443</v>
      </c>
      <c r="D184" s="264" t="s">
        <v>5444</v>
      </c>
      <c r="E184" s="265" t="s">
        <v>5077</v>
      </c>
      <c r="F184" s="268" t="s">
        <v>5440</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5309</v>
      </c>
      <c r="B185" s="260" t="s">
        <v>5437</v>
      </c>
      <c r="C185" s="261" t="s">
        <v>5445</v>
      </c>
      <c r="D185" s="264" t="s">
        <v>5446</v>
      </c>
      <c r="E185" s="265" t="s">
        <v>5077</v>
      </c>
      <c r="F185" s="268" t="s">
        <v>5440</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5309</v>
      </c>
      <c r="B186" s="260" t="s">
        <v>5437</v>
      </c>
      <c r="C186" s="261" t="s">
        <v>5447</v>
      </c>
      <c r="D186" s="264" t="s">
        <v>5448</v>
      </c>
      <c r="E186" s="265" t="s">
        <v>5077</v>
      </c>
      <c r="F186" s="268" t="s">
        <v>5440</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5309</v>
      </c>
      <c r="B187" s="260" t="s">
        <v>5437</v>
      </c>
      <c r="C187" s="261" t="s">
        <v>5449</v>
      </c>
      <c r="D187" s="264" t="s">
        <v>5450</v>
      </c>
      <c r="E187" s="265" t="s">
        <v>5106</v>
      </c>
      <c r="F187" s="268" t="s">
        <v>5440</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5309</v>
      </c>
      <c r="B188" s="260" t="s">
        <v>5437</v>
      </c>
      <c r="C188" s="261" t="s">
        <v>5451</v>
      </c>
      <c r="D188" s="264" t="s">
        <v>5452</v>
      </c>
      <c r="E188" s="265" t="s">
        <v>5106</v>
      </c>
      <c r="F188" s="268" t="s">
        <v>5440</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5309</v>
      </c>
      <c r="B189" s="260" t="s">
        <v>5437</v>
      </c>
      <c r="C189" s="261" t="s">
        <v>5453</v>
      </c>
      <c r="D189" s="264" t="s">
        <v>5454</v>
      </c>
      <c r="E189" s="265" t="s">
        <v>5106</v>
      </c>
      <c r="F189" s="268" t="s">
        <v>5440</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5309</v>
      </c>
      <c r="B190" s="260" t="s">
        <v>5437</v>
      </c>
      <c r="C190" s="261" t="s">
        <v>5455</v>
      </c>
      <c r="D190" s="264" t="s">
        <v>5456</v>
      </c>
      <c r="E190" s="265" t="s">
        <v>5106</v>
      </c>
      <c r="F190" s="268" t="s">
        <v>5440</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5309</v>
      </c>
      <c r="B191" s="260" t="s">
        <v>5437</v>
      </c>
      <c r="C191" s="261" t="s">
        <v>5457</v>
      </c>
      <c r="D191" s="264" t="s">
        <v>5458</v>
      </c>
      <c r="E191" s="265" t="s">
        <v>5077</v>
      </c>
      <c r="F191" s="268" t="s">
        <v>5440</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5309</v>
      </c>
      <c r="B192" s="260" t="s">
        <v>5437</v>
      </c>
      <c r="C192" s="261" t="s">
        <v>5459</v>
      </c>
      <c r="D192" s="264" t="s">
        <v>5460</v>
      </c>
      <c r="E192" s="265" t="s">
        <v>5077</v>
      </c>
      <c r="F192" s="268" t="s">
        <v>5440</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5309</v>
      </c>
      <c r="B193" s="260" t="s">
        <v>5437</v>
      </c>
      <c r="C193" s="261" t="s">
        <v>5461</v>
      </c>
      <c r="D193" s="264" t="s">
        <v>5462</v>
      </c>
      <c r="E193" s="265" t="s">
        <v>5077</v>
      </c>
      <c r="F193" s="268" t="s">
        <v>5440</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5309</v>
      </c>
      <c r="B194" s="260" t="s">
        <v>5437</v>
      </c>
      <c r="C194" s="261" t="s">
        <v>5463</v>
      </c>
      <c r="D194" s="264" t="s">
        <v>5464</v>
      </c>
      <c r="E194" s="265" t="s">
        <v>5077</v>
      </c>
      <c r="F194" s="268" t="s">
        <v>5440</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5309</v>
      </c>
      <c r="B195" s="260" t="s">
        <v>5437</v>
      </c>
      <c r="C195" s="261" t="s">
        <v>5465</v>
      </c>
      <c r="D195" s="264" t="s">
        <v>5466</v>
      </c>
      <c r="E195" s="265" t="s">
        <v>5077</v>
      </c>
      <c r="F195" s="268" t="s">
        <v>5440</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5309</v>
      </c>
      <c r="B196" s="260" t="s">
        <v>5437</v>
      </c>
      <c r="C196" s="261" t="s">
        <v>5467</v>
      </c>
      <c r="D196" s="264" t="s">
        <v>5468</v>
      </c>
      <c r="E196" s="265" t="s">
        <v>5077</v>
      </c>
      <c r="F196" s="268" t="s">
        <v>5469</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5309</v>
      </c>
      <c r="B197" s="260" t="s">
        <v>5437</v>
      </c>
      <c r="C197" s="261" t="s">
        <v>5470</v>
      </c>
      <c r="D197" s="264" t="s">
        <v>5471</v>
      </c>
      <c r="E197" s="265" t="s">
        <v>5077</v>
      </c>
      <c r="F197" s="268" t="s">
        <v>5469</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5309</v>
      </c>
      <c r="B198" s="260" t="s">
        <v>5437</v>
      </c>
      <c r="C198" s="261" t="s">
        <v>5472</v>
      </c>
      <c r="D198" s="264" t="s">
        <v>5473</v>
      </c>
      <c r="E198" s="265" t="s">
        <v>5077</v>
      </c>
      <c r="F198" s="268" t="s">
        <v>5469</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5309</v>
      </c>
      <c r="B199" s="260" t="s">
        <v>5437</v>
      </c>
      <c r="C199" s="261" t="s">
        <v>5474</v>
      </c>
      <c r="D199" s="264" t="s">
        <v>5475</v>
      </c>
      <c r="E199" s="265" t="s">
        <v>5077</v>
      </c>
      <c r="F199" s="268" t="s">
        <v>5469</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5476</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5476</v>
      </c>
      <c r="B201" s="259" t="s">
        <v>5477</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5476</v>
      </c>
      <c r="B202" s="260" t="s">
        <v>5477</v>
      </c>
      <c r="C202" s="261" t="s">
        <v>5478</v>
      </c>
      <c r="D202" s="264" t="s">
        <v>5479</v>
      </c>
      <c r="E202" s="265" t="s">
        <v>5356</v>
      </c>
      <c r="F202" s="268" t="s">
        <v>5480</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5476</v>
      </c>
      <c r="B203" s="260" t="s">
        <v>5477</v>
      </c>
      <c r="C203" s="261" t="s">
        <v>5481</v>
      </c>
      <c r="D203" s="264" t="s">
        <v>5482</v>
      </c>
      <c r="E203" s="265" t="s">
        <v>5356</v>
      </c>
      <c r="F203" s="268" t="s">
        <v>5480</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5476</v>
      </c>
      <c r="B204" s="260" t="s">
        <v>5477</v>
      </c>
      <c r="C204" s="261" t="s">
        <v>5483</v>
      </c>
      <c r="D204" s="264" t="s">
        <v>5484</v>
      </c>
      <c r="E204" s="265" t="s">
        <v>5356</v>
      </c>
      <c r="F204" s="268" t="s">
        <v>5480</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5476</v>
      </c>
      <c r="B205" s="260" t="s">
        <v>5477</v>
      </c>
      <c r="C205" s="261" t="s">
        <v>5485</v>
      </c>
      <c r="D205" s="264" t="s">
        <v>5486</v>
      </c>
      <c r="E205" s="265" t="s">
        <v>5356</v>
      </c>
      <c r="F205" s="268" t="s">
        <v>5480</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5476</v>
      </c>
      <c r="B206" s="260" t="s">
        <v>5477</v>
      </c>
      <c r="C206" s="261" t="s">
        <v>5487</v>
      </c>
      <c r="D206" s="264" t="s">
        <v>5488</v>
      </c>
      <c r="E206" s="265" t="s">
        <v>5356</v>
      </c>
      <c r="F206" s="268" t="s">
        <v>5480</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5476</v>
      </c>
      <c r="B207" s="260" t="s">
        <v>5477</v>
      </c>
      <c r="C207" s="261" t="s">
        <v>5489</v>
      </c>
      <c r="D207" s="264" t="s">
        <v>5490</v>
      </c>
      <c r="E207" s="265" t="s">
        <v>5221</v>
      </c>
      <c r="F207" s="268" t="s">
        <v>5480</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5476</v>
      </c>
      <c r="B208" s="260" t="s">
        <v>5477</v>
      </c>
      <c r="C208" s="261" t="s">
        <v>5491</v>
      </c>
      <c r="D208" s="264" t="s">
        <v>5492</v>
      </c>
      <c r="E208" s="265" t="s">
        <v>5221</v>
      </c>
      <c r="F208" s="268" t="s">
        <v>5480</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5476</v>
      </c>
      <c r="B209" s="260" t="s">
        <v>5477</v>
      </c>
      <c r="C209" s="261" t="s">
        <v>5493</v>
      </c>
      <c r="D209" s="264" t="s">
        <v>5494</v>
      </c>
      <c r="E209" s="265" t="s">
        <v>5356</v>
      </c>
      <c r="F209" s="268" t="s">
        <v>5480</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5476</v>
      </c>
      <c r="B210" s="260" t="s">
        <v>5477</v>
      </c>
      <c r="C210" s="261" t="s">
        <v>5495</v>
      </c>
      <c r="D210" s="264" t="s">
        <v>5496</v>
      </c>
      <c r="E210" s="265" t="s">
        <v>5106</v>
      </c>
      <c r="F210" s="268" t="s">
        <v>5497</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5476</v>
      </c>
      <c r="B211" s="260" t="s">
        <v>5477</v>
      </c>
      <c r="C211" s="261" t="s">
        <v>5498</v>
      </c>
      <c r="D211" s="264" t="s">
        <v>5499</v>
      </c>
      <c r="E211" s="265" t="s">
        <v>5106</v>
      </c>
      <c r="F211" s="268" t="s">
        <v>5497</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5476</v>
      </c>
      <c r="B212" s="260" t="s">
        <v>5477</v>
      </c>
      <c r="C212" s="261" t="s">
        <v>5500</v>
      </c>
      <c r="D212" s="264" t="s">
        <v>5501</v>
      </c>
      <c r="E212" s="265" t="s">
        <v>5173</v>
      </c>
      <c r="F212" s="268" t="s">
        <v>5502</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5476</v>
      </c>
      <c r="B213" s="260" t="s">
        <v>5477</v>
      </c>
      <c r="C213" s="261" t="s">
        <v>5503</v>
      </c>
      <c r="D213" s="264" t="s">
        <v>5504</v>
      </c>
      <c r="E213" s="265" t="s">
        <v>5106</v>
      </c>
      <c r="F213" s="268" t="s">
        <v>5505</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5476</v>
      </c>
      <c r="B214" s="260" t="s">
        <v>5477</v>
      </c>
      <c r="C214" s="261" t="s">
        <v>5506</v>
      </c>
      <c r="D214" s="264" t="s">
        <v>5507</v>
      </c>
      <c r="E214" s="265" t="s">
        <v>5173</v>
      </c>
      <c r="F214" s="268" t="s">
        <v>5508</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5476</v>
      </c>
      <c r="B215" s="260" t="s">
        <v>5477</v>
      </c>
      <c r="C215" s="261" t="s">
        <v>5509</v>
      </c>
      <c r="D215" s="264" t="s">
        <v>5510</v>
      </c>
      <c r="E215" s="265" t="s">
        <v>5077</v>
      </c>
      <c r="F215" s="268" t="s">
        <v>5508</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5476</v>
      </c>
      <c r="B216" s="260" t="s">
        <v>5477</v>
      </c>
      <c r="C216" s="261" t="s">
        <v>5511</v>
      </c>
      <c r="D216" s="264" t="s">
        <v>5512</v>
      </c>
      <c r="E216" s="265" t="s">
        <v>5077</v>
      </c>
      <c r="F216" s="268" t="s">
        <v>5508</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5476</v>
      </c>
      <c r="B217" s="260" t="s">
        <v>5477</v>
      </c>
      <c r="C217" s="261" t="s">
        <v>5513</v>
      </c>
      <c r="D217" s="264" t="s">
        <v>5514</v>
      </c>
      <c r="E217" s="265" t="s">
        <v>5106</v>
      </c>
      <c r="F217" s="268" t="s">
        <v>5508</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5476</v>
      </c>
      <c r="B218" s="260" t="s">
        <v>5477</v>
      </c>
      <c r="C218" s="261" t="s">
        <v>5515</v>
      </c>
      <c r="D218" s="264" t="s">
        <v>5516</v>
      </c>
      <c r="E218" s="265" t="s">
        <v>5106</v>
      </c>
      <c r="F218" s="268" t="s">
        <v>5508</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5476</v>
      </c>
      <c r="B219" s="260" t="s">
        <v>5477</v>
      </c>
      <c r="C219" s="261" t="s">
        <v>5517</v>
      </c>
      <c r="D219" s="264" t="s">
        <v>5518</v>
      </c>
      <c r="E219" s="265" t="s">
        <v>5106</v>
      </c>
      <c r="F219" s="268" t="s">
        <v>5508</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5476</v>
      </c>
      <c r="B220" s="260" t="s">
        <v>5477</v>
      </c>
      <c r="C220" s="261" t="s">
        <v>5519</v>
      </c>
      <c r="D220" s="264" t="s">
        <v>5520</v>
      </c>
      <c r="E220" s="265" t="s">
        <v>5106</v>
      </c>
      <c r="F220" s="268" t="s">
        <v>5508</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5476</v>
      </c>
      <c r="B221" s="259" t="s">
        <v>5521</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5476</v>
      </c>
      <c r="B222" s="260" t="s">
        <v>5521</v>
      </c>
      <c r="C222" s="261" t="s">
        <v>5522</v>
      </c>
      <c r="D222" s="264" t="s">
        <v>5523</v>
      </c>
      <c r="E222" s="265" t="s">
        <v>5173</v>
      </c>
      <c r="F222" s="268" t="s">
        <v>5524</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5476</v>
      </c>
      <c r="B223" s="260" t="s">
        <v>5521</v>
      </c>
      <c r="C223" s="261" t="s">
        <v>5525</v>
      </c>
      <c r="D223" s="264" t="s">
        <v>5526</v>
      </c>
      <c r="E223" s="265" t="s">
        <v>5173</v>
      </c>
      <c r="F223" s="268" t="s">
        <v>5524</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5476</v>
      </c>
      <c r="B224" s="260" t="s">
        <v>5521</v>
      </c>
      <c r="C224" s="261" t="s">
        <v>5527</v>
      </c>
      <c r="D224" s="264" t="s">
        <v>5528</v>
      </c>
      <c r="E224" s="265" t="s">
        <v>5173</v>
      </c>
      <c r="F224" s="268" t="s">
        <v>5524</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5476</v>
      </c>
      <c r="B225" s="260" t="s">
        <v>5521</v>
      </c>
      <c r="C225" s="261" t="s">
        <v>5529</v>
      </c>
      <c r="D225" s="264" t="s">
        <v>5530</v>
      </c>
      <c r="E225" s="265" t="s">
        <v>5173</v>
      </c>
      <c r="F225" s="268" t="s">
        <v>5524</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5476</v>
      </c>
      <c r="B226" s="260" t="s">
        <v>5521</v>
      </c>
      <c r="C226" s="261" t="s">
        <v>5531</v>
      </c>
      <c r="D226" s="264" t="s">
        <v>5532</v>
      </c>
      <c r="E226" s="265" t="s">
        <v>5173</v>
      </c>
      <c r="F226" s="268" t="s">
        <v>5524</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5476</v>
      </c>
      <c r="B227" s="260" t="s">
        <v>5521</v>
      </c>
      <c r="C227" s="261" t="s">
        <v>5533</v>
      </c>
      <c r="D227" s="264" t="s">
        <v>5534</v>
      </c>
      <c r="E227" s="265" t="s">
        <v>5173</v>
      </c>
      <c r="F227" s="268" t="s">
        <v>5524</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5476</v>
      </c>
      <c r="B228" s="260" t="s">
        <v>5521</v>
      </c>
      <c r="C228" s="261" t="s">
        <v>5535</v>
      </c>
      <c r="D228" s="264" t="s">
        <v>5536</v>
      </c>
      <c r="E228" s="265" t="s">
        <v>5173</v>
      </c>
      <c r="F228" s="268" t="s">
        <v>5524</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5476</v>
      </c>
      <c r="B229" s="260" t="s">
        <v>5521</v>
      </c>
      <c r="C229" s="261" t="s">
        <v>5537</v>
      </c>
      <c r="D229" s="264" t="s">
        <v>5538</v>
      </c>
      <c r="E229" s="265" t="s">
        <v>5077</v>
      </c>
      <c r="F229" s="268" t="s">
        <v>5524</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5476</v>
      </c>
      <c r="B230" s="260" t="s">
        <v>5521</v>
      </c>
      <c r="C230" s="261" t="s">
        <v>5539</v>
      </c>
      <c r="D230" s="264" t="s">
        <v>5540</v>
      </c>
      <c r="E230" s="265" t="s">
        <v>5077</v>
      </c>
      <c r="F230" s="268" t="s">
        <v>5524</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5476</v>
      </c>
      <c r="B231" s="260" t="s">
        <v>5521</v>
      </c>
      <c r="C231" s="261" t="s">
        <v>5541</v>
      </c>
      <c r="D231" s="264" t="s">
        <v>5542</v>
      </c>
      <c r="E231" s="265" t="s">
        <v>5173</v>
      </c>
      <c r="F231" s="268" t="s">
        <v>5543</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5476</v>
      </c>
      <c r="B232" s="260" t="s">
        <v>5521</v>
      </c>
      <c r="C232" s="261" t="s">
        <v>5544</v>
      </c>
      <c r="D232" s="264" t="s">
        <v>5545</v>
      </c>
      <c r="E232" s="265" t="s">
        <v>5173</v>
      </c>
      <c r="F232" s="268" t="s">
        <v>5543</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5476</v>
      </c>
      <c r="B233" s="260" t="s">
        <v>5521</v>
      </c>
      <c r="C233" s="261" t="s">
        <v>5546</v>
      </c>
      <c r="D233" s="264" t="s">
        <v>5547</v>
      </c>
      <c r="E233" s="265" t="s">
        <v>5106</v>
      </c>
      <c r="F233" s="268" t="s">
        <v>5543</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5476</v>
      </c>
      <c r="B234" s="260" t="s">
        <v>5521</v>
      </c>
      <c r="C234" s="261" t="s">
        <v>5548</v>
      </c>
      <c r="D234" s="264" t="s">
        <v>5549</v>
      </c>
      <c r="E234" s="265" t="s">
        <v>5106</v>
      </c>
      <c r="F234" s="268" t="s">
        <v>5543</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5476</v>
      </c>
      <c r="B235" s="260" t="s">
        <v>5521</v>
      </c>
      <c r="C235" s="261" t="s">
        <v>5550</v>
      </c>
      <c r="D235" s="264" t="s">
        <v>5551</v>
      </c>
      <c r="E235" s="265" t="s">
        <v>5173</v>
      </c>
      <c r="F235" s="268" t="s">
        <v>5543</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5476</v>
      </c>
      <c r="B236" s="260" t="s">
        <v>5521</v>
      </c>
      <c r="C236" s="261" t="s">
        <v>5552</v>
      </c>
      <c r="D236" s="264" t="s">
        <v>5553</v>
      </c>
      <c r="E236" s="265" t="s">
        <v>5106</v>
      </c>
      <c r="F236" s="268" t="s">
        <v>5543</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5476</v>
      </c>
      <c r="B237" s="259" t="s">
        <v>1710</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5476</v>
      </c>
      <c r="B238" s="260" t="s">
        <v>1710</v>
      </c>
      <c r="C238" s="261" t="s">
        <v>5554</v>
      </c>
      <c r="D238" s="264" t="s">
        <v>5555</v>
      </c>
      <c r="E238" s="265" t="s">
        <v>5077</v>
      </c>
      <c r="F238" s="268" t="s">
        <v>5556</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5476</v>
      </c>
      <c r="B239" s="260" t="s">
        <v>1710</v>
      </c>
      <c r="C239" s="261" t="s">
        <v>5557</v>
      </c>
      <c r="D239" s="264" t="s">
        <v>5558</v>
      </c>
      <c r="E239" s="265" t="s">
        <v>5077</v>
      </c>
      <c r="F239" s="268" t="s">
        <v>5556</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5476</v>
      </c>
      <c r="B240" s="260" t="s">
        <v>1710</v>
      </c>
      <c r="C240" s="261" t="s">
        <v>5559</v>
      </c>
      <c r="D240" s="264" t="s">
        <v>5560</v>
      </c>
      <c r="E240" s="265" t="s">
        <v>5077</v>
      </c>
      <c r="F240" s="268" t="s">
        <v>5556</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5476</v>
      </c>
      <c r="B241" s="260" t="s">
        <v>1710</v>
      </c>
      <c r="C241" s="261" t="s">
        <v>5561</v>
      </c>
      <c r="D241" s="264" t="s">
        <v>5562</v>
      </c>
      <c r="E241" s="265" t="s">
        <v>5077</v>
      </c>
      <c r="F241" s="268" t="s">
        <v>5556</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5476</v>
      </c>
      <c r="B242" s="260" t="s">
        <v>1710</v>
      </c>
      <c r="C242" s="261" t="s">
        <v>5563</v>
      </c>
      <c r="D242" s="264" t="s">
        <v>5564</v>
      </c>
      <c r="E242" s="265" t="s">
        <v>5077</v>
      </c>
      <c r="F242" s="268" t="s">
        <v>5556</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5476</v>
      </c>
      <c r="B243" s="260" t="s">
        <v>1710</v>
      </c>
      <c r="C243" s="261" t="s">
        <v>5565</v>
      </c>
      <c r="D243" s="264" t="s">
        <v>5566</v>
      </c>
      <c r="E243" s="265" t="s">
        <v>5077</v>
      </c>
      <c r="F243" s="268" t="s">
        <v>5556</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5476</v>
      </c>
      <c r="B244" s="260" t="s">
        <v>1710</v>
      </c>
      <c r="C244" s="261" t="s">
        <v>5567</v>
      </c>
      <c r="D244" s="264" t="s">
        <v>5568</v>
      </c>
      <c r="E244" s="265" t="s">
        <v>5077</v>
      </c>
      <c r="F244" s="268" t="s">
        <v>5556</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5476</v>
      </c>
      <c r="B245" s="260" t="s">
        <v>1710</v>
      </c>
      <c r="C245" s="261" t="s">
        <v>5569</v>
      </c>
      <c r="D245" s="264" t="s">
        <v>5570</v>
      </c>
      <c r="E245" s="265" t="s">
        <v>5077</v>
      </c>
      <c r="F245" s="268" t="s">
        <v>5556</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5476</v>
      </c>
      <c r="B246" s="260" t="s">
        <v>1710</v>
      </c>
      <c r="C246" s="261" t="s">
        <v>5571</v>
      </c>
      <c r="D246" s="264" t="s">
        <v>5572</v>
      </c>
      <c r="E246" s="265" t="s">
        <v>5077</v>
      </c>
      <c r="F246" s="268" t="s">
        <v>5556</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5476</v>
      </c>
      <c r="B247" s="260" t="s">
        <v>1710</v>
      </c>
      <c r="C247" s="261" t="s">
        <v>5573</v>
      </c>
      <c r="D247" s="264" t="s">
        <v>5574</v>
      </c>
      <c r="E247" s="265" t="s">
        <v>5077</v>
      </c>
      <c r="F247" s="268" t="s">
        <v>5556</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5476</v>
      </c>
      <c r="B248" s="260" t="s">
        <v>1710</v>
      </c>
      <c r="C248" s="261" t="s">
        <v>5575</v>
      </c>
      <c r="D248" s="264" t="s">
        <v>5576</v>
      </c>
      <c r="E248" s="265" t="s">
        <v>5106</v>
      </c>
      <c r="F248" s="268" t="s">
        <v>5556</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5476</v>
      </c>
      <c r="B249" s="260" t="s">
        <v>1710</v>
      </c>
      <c r="C249" s="261" t="s">
        <v>5577</v>
      </c>
      <c r="D249" s="264" t="s">
        <v>5578</v>
      </c>
      <c r="E249" s="265" t="s">
        <v>5106</v>
      </c>
      <c r="F249" s="268" t="s">
        <v>5579</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5476</v>
      </c>
      <c r="B250" s="260" t="s">
        <v>1710</v>
      </c>
      <c r="C250" s="261" t="s">
        <v>5580</v>
      </c>
      <c r="D250" s="264" t="s">
        <v>5581</v>
      </c>
      <c r="E250" s="265" t="s">
        <v>5106</v>
      </c>
      <c r="F250" s="268" t="s">
        <v>5579</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5476</v>
      </c>
      <c r="B251" s="259" t="s">
        <v>5582</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5476</v>
      </c>
      <c r="B252" s="260" t="s">
        <v>5582</v>
      </c>
      <c r="C252" s="261" t="s">
        <v>5583</v>
      </c>
      <c r="D252" s="264" t="s">
        <v>5584</v>
      </c>
      <c r="E252" s="265" t="s">
        <v>5173</v>
      </c>
      <c r="F252" s="268" t="s">
        <v>5585</v>
      </c>
      <c r="G252" s="271">
        <f>IF(COUNTIF(H252:AU252,"&lt;&gt;")=0,"",SUMPRODUCT(((Recommendations[ImplStatus]="Implemented")+(Recommendations[ImplStatus]="Compensated"))*ISNUMBER(MATCH(Recommendations[Id],H252:AU252,0)))/COUNTIF(H252:AU252,"&lt;&gt;"))</f>
        <v>0</v>
      </c>
      <c r="H252" s="272" t="s">
        <v>130</v>
      </c>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5476</v>
      </c>
      <c r="B253" s="260" t="s">
        <v>5582</v>
      </c>
      <c r="C253" s="261" t="s">
        <v>5586</v>
      </c>
      <c r="D253" s="264" t="s">
        <v>5587</v>
      </c>
      <c r="E253" s="265" t="s">
        <v>5173</v>
      </c>
      <c r="F253" s="268" t="s">
        <v>5585</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5476</v>
      </c>
      <c r="B254" s="260" t="s">
        <v>5582</v>
      </c>
      <c r="C254" s="261" t="s">
        <v>5588</v>
      </c>
      <c r="D254" s="264" t="s">
        <v>5589</v>
      </c>
      <c r="E254" s="265" t="s">
        <v>5173</v>
      </c>
      <c r="F254" s="268" t="s">
        <v>5585</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5476</v>
      </c>
      <c r="B255" s="260" t="s">
        <v>5582</v>
      </c>
      <c r="C255" s="261" t="s">
        <v>5590</v>
      </c>
      <c r="D255" s="264" t="s">
        <v>5591</v>
      </c>
      <c r="E255" s="265" t="s">
        <v>5173</v>
      </c>
      <c r="F255" s="268" t="s">
        <v>5585</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5476</v>
      </c>
      <c r="B256" s="260" t="s">
        <v>5582</v>
      </c>
      <c r="C256" s="261" t="s">
        <v>5592</v>
      </c>
      <c r="D256" s="264" t="s">
        <v>5593</v>
      </c>
      <c r="E256" s="265" t="s">
        <v>5173</v>
      </c>
      <c r="F256" s="268" t="s">
        <v>5585</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5476</v>
      </c>
      <c r="B257" s="260" t="s">
        <v>5582</v>
      </c>
      <c r="C257" s="261" t="s">
        <v>5594</v>
      </c>
      <c r="D257" s="264" t="s">
        <v>5595</v>
      </c>
      <c r="E257" s="265" t="s">
        <v>5077</v>
      </c>
      <c r="F257" s="268" t="s">
        <v>5585</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5476</v>
      </c>
      <c r="B258" s="260" t="s">
        <v>5582</v>
      </c>
      <c r="C258" s="261" t="s">
        <v>5596</v>
      </c>
      <c r="D258" s="264" t="s">
        <v>5597</v>
      </c>
      <c r="E258" s="265" t="s">
        <v>5077</v>
      </c>
      <c r="F258" s="268" t="s">
        <v>5585</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5476</v>
      </c>
      <c r="B259" s="260" t="s">
        <v>5582</v>
      </c>
      <c r="C259" s="261" t="s">
        <v>5598</v>
      </c>
      <c r="D259" s="264" t="s">
        <v>5599</v>
      </c>
      <c r="E259" s="265" t="s">
        <v>5077</v>
      </c>
      <c r="F259" s="268" t="s">
        <v>5585</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5476</v>
      </c>
      <c r="B260" s="260" t="s">
        <v>5582</v>
      </c>
      <c r="C260" s="261" t="s">
        <v>5600</v>
      </c>
      <c r="D260" s="264" t="s">
        <v>5601</v>
      </c>
      <c r="E260" s="265" t="s">
        <v>5077</v>
      </c>
      <c r="F260" s="268" t="s">
        <v>5585</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5476</v>
      </c>
      <c r="B261" s="260" t="s">
        <v>5582</v>
      </c>
      <c r="C261" s="261" t="s">
        <v>5602</v>
      </c>
      <c r="D261" s="264" t="s">
        <v>5603</v>
      </c>
      <c r="E261" s="265" t="s">
        <v>5221</v>
      </c>
      <c r="F261" s="268" t="s">
        <v>5585</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5476</v>
      </c>
      <c r="B262" s="260" t="s">
        <v>5582</v>
      </c>
      <c r="C262" s="261" t="s">
        <v>5604</v>
      </c>
      <c r="D262" s="264" t="s">
        <v>5605</v>
      </c>
      <c r="E262" s="265" t="s">
        <v>5221</v>
      </c>
      <c r="F262" s="268" t="s">
        <v>5585</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5476</v>
      </c>
      <c r="B263" s="260" t="s">
        <v>5582</v>
      </c>
      <c r="C263" s="261" t="s">
        <v>5606</v>
      </c>
      <c r="D263" s="264" t="s">
        <v>5607</v>
      </c>
      <c r="E263" s="265" t="s">
        <v>5221</v>
      </c>
      <c r="F263" s="268" t="s">
        <v>5585</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5476</v>
      </c>
      <c r="B264" s="259" t="s">
        <v>5608</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5476</v>
      </c>
      <c r="B265" s="260" t="s">
        <v>5608</v>
      </c>
      <c r="C265" s="261" t="s">
        <v>5609</v>
      </c>
      <c r="D265" s="264" t="s">
        <v>5610</v>
      </c>
      <c r="E265" s="265" t="s">
        <v>5106</v>
      </c>
      <c r="F265" s="268" t="s">
        <v>5611</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5476</v>
      </c>
      <c r="B266" s="260" t="s">
        <v>5608</v>
      </c>
      <c r="C266" s="261" t="s">
        <v>5612</v>
      </c>
      <c r="D266" s="264" t="s">
        <v>5613</v>
      </c>
      <c r="E266" s="265" t="s">
        <v>5106</v>
      </c>
      <c r="F266" s="268" t="s">
        <v>5611</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5476</v>
      </c>
      <c r="B267" s="260" t="s">
        <v>5608</v>
      </c>
      <c r="C267" s="261" t="s">
        <v>5614</v>
      </c>
      <c r="D267" s="264" t="s">
        <v>5615</v>
      </c>
      <c r="E267" s="265" t="s">
        <v>5106</v>
      </c>
      <c r="F267" s="268" t="s">
        <v>5611</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5476</v>
      </c>
      <c r="B268" s="260" t="s">
        <v>5608</v>
      </c>
      <c r="C268" s="261" t="s">
        <v>5616</v>
      </c>
      <c r="D268" s="264" t="s">
        <v>5617</v>
      </c>
      <c r="E268" s="265" t="s">
        <v>5106</v>
      </c>
      <c r="F268" s="268" t="s">
        <v>5611</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5476</v>
      </c>
      <c r="B269" s="260" t="s">
        <v>5608</v>
      </c>
      <c r="C269" s="261" t="s">
        <v>5618</v>
      </c>
      <c r="D269" s="264" t="s">
        <v>5619</v>
      </c>
      <c r="E269" s="265" t="s">
        <v>5106</v>
      </c>
      <c r="F269" s="268" t="s">
        <v>5611</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5476</v>
      </c>
      <c r="B270" s="260" t="s">
        <v>5608</v>
      </c>
      <c r="C270" s="261" t="s">
        <v>5620</v>
      </c>
      <c r="D270" s="264" t="s">
        <v>5621</v>
      </c>
      <c r="E270" s="265" t="s">
        <v>5106</v>
      </c>
      <c r="F270" s="268" t="s">
        <v>5611</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5476</v>
      </c>
      <c r="B271" s="260" t="s">
        <v>5608</v>
      </c>
      <c r="C271" s="261" t="s">
        <v>5622</v>
      </c>
      <c r="D271" s="264" t="s">
        <v>5623</v>
      </c>
      <c r="E271" s="265" t="s">
        <v>5106</v>
      </c>
      <c r="F271" s="268" t="s">
        <v>5611</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5476</v>
      </c>
      <c r="B272" s="260" t="s">
        <v>5608</v>
      </c>
      <c r="C272" s="261" t="s">
        <v>5624</v>
      </c>
      <c r="D272" s="264" t="s">
        <v>5625</v>
      </c>
      <c r="E272" s="265" t="s">
        <v>5106</v>
      </c>
      <c r="F272" s="268" t="s">
        <v>5611</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5476</v>
      </c>
      <c r="B273" s="260" t="s">
        <v>5608</v>
      </c>
      <c r="C273" s="261" t="s">
        <v>5626</v>
      </c>
      <c r="D273" s="264" t="s">
        <v>5627</v>
      </c>
      <c r="E273" s="265" t="s">
        <v>5106</v>
      </c>
      <c r="F273" s="268" t="s">
        <v>5611</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5628</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5628</v>
      </c>
      <c r="B275" s="259" t="s">
        <v>5629</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5628</v>
      </c>
      <c r="B276" s="260" t="s">
        <v>5629</v>
      </c>
      <c r="C276" s="261" t="s">
        <v>5630</v>
      </c>
      <c r="D276" s="264" t="s">
        <v>5631</v>
      </c>
      <c r="E276" s="265" t="s">
        <v>5077</v>
      </c>
      <c r="F276" s="268" t="s">
        <v>5632</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5628</v>
      </c>
      <c r="B277" s="260" t="s">
        <v>5629</v>
      </c>
      <c r="C277" s="261" t="s">
        <v>5633</v>
      </c>
      <c r="D277" s="264" t="s">
        <v>5634</v>
      </c>
      <c r="E277" s="265" t="s">
        <v>5077</v>
      </c>
      <c r="F277" s="268" t="s">
        <v>5632</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5628</v>
      </c>
      <c r="B278" s="260" t="s">
        <v>5629</v>
      </c>
      <c r="C278" s="261" t="s">
        <v>5635</v>
      </c>
      <c r="D278" s="264" t="s">
        <v>5636</v>
      </c>
      <c r="E278" s="265" t="s">
        <v>5077</v>
      </c>
      <c r="F278" s="268" t="s">
        <v>5632</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5628</v>
      </c>
      <c r="B279" s="260" t="s">
        <v>5629</v>
      </c>
      <c r="C279" s="261" t="s">
        <v>5637</v>
      </c>
      <c r="D279" s="264" t="s">
        <v>5638</v>
      </c>
      <c r="E279" s="265" t="s">
        <v>5077</v>
      </c>
      <c r="F279" s="268" t="s">
        <v>5632</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5628</v>
      </c>
      <c r="B280" s="260" t="s">
        <v>5629</v>
      </c>
      <c r="C280" s="261" t="s">
        <v>5639</v>
      </c>
      <c r="D280" s="264" t="s">
        <v>5640</v>
      </c>
      <c r="E280" s="265" t="s">
        <v>5077</v>
      </c>
      <c r="F280" s="268" t="s">
        <v>5632</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5628</v>
      </c>
      <c r="B281" s="260" t="s">
        <v>5629</v>
      </c>
      <c r="C281" s="261" t="s">
        <v>5641</v>
      </c>
      <c r="D281" s="264" t="s">
        <v>5642</v>
      </c>
      <c r="E281" s="265" t="s">
        <v>5077</v>
      </c>
      <c r="F281" s="268" t="s">
        <v>5632</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5628</v>
      </c>
      <c r="B282" s="260" t="s">
        <v>5629</v>
      </c>
      <c r="C282" s="261" t="s">
        <v>5643</v>
      </c>
      <c r="D282" s="264" t="s">
        <v>5644</v>
      </c>
      <c r="E282" s="265" t="s">
        <v>5077</v>
      </c>
      <c r="F282" s="268" t="s">
        <v>5632</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5628</v>
      </c>
      <c r="B283" s="260" t="s">
        <v>5629</v>
      </c>
      <c r="C283" s="261" t="s">
        <v>5645</v>
      </c>
      <c r="D283" s="264" t="s">
        <v>5646</v>
      </c>
      <c r="E283" s="265" t="s">
        <v>5173</v>
      </c>
      <c r="F283" s="268" t="s">
        <v>5647</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5628</v>
      </c>
      <c r="B284" s="260" t="s">
        <v>5629</v>
      </c>
      <c r="C284" s="261" t="s">
        <v>5648</v>
      </c>
      <c r="D284" s="264" t="s">
        <v>5649</v>
      </c>
      <c r="E284" s="265" t="s">
        <v>5173</v>
      </c>
      <c r="F284" s="268" t="s">
        <v>5647</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5628</v>
      </c>
      <c r="B285" s="260" t="s">
        <v>5629</v>
      </c>
      <c r="C285" s="261" t="s">
        <v>5650</v>
      </c>
      <c r="D285" s="264" t="s">
        <v>5651</v>
      </c>
      <c r="E285" s="265" t="s">
        <v>5077</v>
      </c>
      <c r="F285" s="268" t="s">
        <v>5647</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5628</v>
      </c>
      <c r="B286" s="260" t="s">
        <v>5629</v>
      </c>
      <c r="C286" s="261" t="s">
        <v>5652</v>
      </c>
      <c r="D286" s="264" t="s">
        <v>5653</v>
      </c>
      <c r="E286" s="265" t="s">
        <v>5106</v>
      </c>
      <c r="F286" s="268" t="s">
        <v>5647</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5628</v>
      </c>
      <c r="B287" s="260" t="s">
        <v>5629</v>
      </c>
      <c r="C287" s="261" t="s">
        <v>5654</v>
      </c>
      <c r="D287" s="264" t="s">
        <v>5655</v>
      </c>
      <c r="E287" s="265" t="s">
        <v>5106</v>
      </c>
      <c r="F287" s="268" t="s">
        <v>5647</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5628</v>
      </c>
      <c r="B288" s="260" t="s">
        <v>5629</v>
      </c>
      <c r="C288" s="261" t="s">
        <v>5656</v>
      </c>
      <c r="D288" s="264" t="s">
        <v>5657</v>
      </c>
      <c r="E288" s="265" t="s">
        <v>5106</v>
      </c>
      <c r="F288" s="268" t="s">
        <v>5647</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5628</v>
      </c>
      <c r="B289" s="260" t="s">
        <v>5629</v>
      </c>
      <c r="C289" s="261" t="s">
        <v>5658</v>
      </c>
      <c r="D289" s="264" t="s">
        <v>5659</v>
      </c>
      <c r="E289" s="265" t="s">
        <v>5106</v>
      </c>
      <c r="F289" s="268" t="s">
        <v>5647</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5628</v>
      </c>
      <c r="B290" s="260" t="s">
        <v>5629</v>
      </c>
      <c r="C290" s="261" t="s">
        <v>5660</v>
      </c>
      <c r="D290" s="264" t="s">
        <v>5661</v>
      </c>
      <c r="E290" s="265" t="s">
        <v>5077</v>
      </c>
      <c r="F290" s="268" t="s">
        <v>5647</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5628</v>
      </c>
      <c r="B291" s="260" t="s">
        <v>5629</v>
      </c>
      <c r="C291" s="261" t="s">
        <v>5662</v>
      </c>
      <c r="D291" s="264" t="s">
        <v>5663</v>
      </c>
      <c r="E291" s="265" t="s">
        <v>5106</v>
      </c>
      <c r="F291" s="268" t="s">
        <v>5664</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5628</v>
      </c>
      <c r="B292" s="260" t="s">
        <v>5629</v>
      </c>
      <c r="C292" s="261" t="s">
        <v>5665</v>
      </c>
      <c r="D292" s="264" t="s">
        <v>5666</v>
      </c>
      <c r="E292" s="265" t="s">
        <v>5106</v>
      </c>
      <c r="F292" s="268" t="s">
        <v>5664</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5628</v>
      </c>
      <c r="B293" s="260" t="s">
        <v>5629</v>
      </c>
      <c r="C293" s="261" t="s">
        <v>5667</v>
      </c>
      <c r="D293" s="264" t="s">
        <v>5668</v>
      </c>
      <c r="E293" s="265" t="s">
        <v>5356</v>
      </c>
      <c r="F293" s="268" t="s">
        <v>5647</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5628</v>
      </c>
      <c r="B294" s="260" t="s">
        <v>5629</v>
      </c>
      <c r="C294" s="261" t="s">
        <v>5669</v>
      </c>
      <c r="D294" s="264" t="s">
        <v>5670</v>
      </c>
      <c r="E294" s="265" t="s">
        <v>5356</v>
      </c>
      <c r="F294" s="268" t="s">
        <v>5647</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5628</v>
      </c>
      <c r="B295" s="260" t="s">
        <v>5629</v>
      </c>
      <c r="C295" s="261" t="s">
        <v>5671</v>
      </c>
      <c r="D295" s="264" t="s">
        <v>5672</v>
      </c>
      <c r="E295" s="265" t="s">
        <v>5173</v>
      </c>
      <c r="F295" s="268" t="s">
        <v>5647</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5628</v>
      </c>
      <c r="B296" s="260" t="s">
        <v>5629</v>
      </c>
      <c r="C296" s="261" t="s">
        <v>5673</v>
      </c>
      <c r="D296" s="264" t="s">
        <v>5674</v>
      </c>
      <c r="E296" s="265" t="s">
        <v>5173</v>
      </c>
      <c r="F296" s="268" t="s">
        <v>5647</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5628</v>
      </c>
      <c r="B297" s="260" t="s">
        <v>5629</v>
      </c>
      <c r="C297" s="261" t="s">
        <v>5675</v>
      </c>
      <c r="D297" s="264" t="s">
        <v>5676</v>
      </c>
      <c r="E297" s="265" t="s">
        <v>5077</v>
      </c>
      <c r="F297" s="268" t="s">
        <v>5647</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5628</v>
      </c>
      <c r="B298" s="260" t="s">
        <v>5629</v>
      </c>
      <c r="C298" s="261" t="s">
        <v>5677</v>
      </c>
      <c r="D298" s="264" t="s">
        <v>5678</v>
      </c>
      <c r="E298" s="265" t="s">
        <v>5173</v>
      </c>
      <c r="F298" s="268" t="s">
        <v>5647</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5628</v>
      </c>
      <c r="B299" s="260" t="s">
        <v>5629</v>
      </c>
      <c r="C299" s="261" t="s">
        <v>5679</v>
      </c>
      <c r="D299" s="264" t="s">
        <v>5680</v>
      </c>
      <c r="E299" s="265" t="s">
        <v>5106</v>
      </c>
      <c r="F299" s="268" t="s">
        <v>5647</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5628</v>
      </c>
      <c r="B300" s="260" t="s">
        <v>5629</v>
      </c>
      <c r="C300" s="261" t="s">
        <v>5681</v>
      </c>
      <c r="D300" s="264" t="s">
        <v>5682</v>
      </c>
      <c r="E300" s="265" t="s">
        <v>5173</v>
      </c>
      <c r="F300" s="268" t="s">
        <v>5647</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5628</v>
      </c>
      <c r="B301" s="260" t="s">
        <v>5629</v>
      </c>
      <c r="C301" s="261" t="s">
        <v>5683</v>
      </c>
      <c r="D301" s="264" t="s">
        <v>5684</v>
      </c>
      <c r="E301" s="265" t="s">
        <v>5221</v>
      </c>
      <c r="F301" s="268" t="s">
        <v>5647</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5628</v>
      </c>
      <c r="B302" s="260" t="s">
        <v>5629</v>
      </c>
      <c r="C302" s="261" t="s">
        <v>5685</v>
      </c>
      <c r="D302" s="264" t="s">
        <v>5686</v>
      </c>
      <c r="E302" s="265" t="s">
        <v>5221</v>
      </c>
      <c r="F302" s="268" t="s">
        <v>5647</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5628</v>
      </c>
      <c r="B303" s="259" t="s">
        <v>1443</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5628</v>
      </c>
      <c r="B304" s="260" t="s">
        <v>1443</v>
      </c>
      <c r="C304" s="261" t="s">
        <v>5687</v>
      </c>
      <c r="D304" s="264" t="s">
        <v>5688</v>
      </c>
      <c r="E304" s="265" t="s">
        <v>5077</v>
      </c>
      <c r="F304" s="268" t="s">
        <v>5689</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5628</v>
      </c>
      <c r="B305" s="260" t="s">
        <v>1443</v>
      </c>
      <c r="C305" s="261" t="s">
        <v>5690</v>
      </c>
      <c r="D305" s="264" t="s">
        <v>5691</v>
      </c>
      <c r="E305" s="265" t="s">
        <v>5077</v>
      </c>
      <c r="F305" s="268" t="s">
        <v>5689</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5628</v>
      </c>
      <c r="B306" s="260" t="s">
        <v>1443</v>
      </c>
      <c r="C306" s="261" t="s">
        <v>5692</v>
      </c>
      <c r="D306" s="264" t="s">
        <v>5693</v>
      </c>
      <c r="E306" s="265" t="s">
        <v>5077</v>
      </c>
      <c r="F306" s="268" t="s">
        <v>5689</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5628</v>
      </c>
      <c r="B307" s="260" t="s">
        <v>1443</v>
      </c>
      <c r="C307" s="261" t="s">
        <v>5694</v>
      </c>
      <c r="D307" s="264" t="s">
        <v>5695</v>
      </c>
      <c r="E307" s="265" t="s">
        <v>5077</v>
      </c>
      <c r="F307" s="268" t="s">
        <v>5689</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5628</v>
      </c>
      <c r="B308" s="260" t="s">
        <v>1443</v>
      </c>
      <c r="C308" s="261" t="s">
        <v>5696</v>
      </c>
      <c r="D308" s="264" t="s">
        <v>5697</v>
      </c>
      <c r="E308" s="265" t="s">
        <v>5173</v>
      </c>
      <c r="F308" s="268" t="s">
        <v>5689</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5628</v>
      </c>
      <c r="B309" s="260" t="s">
        <v>1443</v>
      </c>
      <c r="C309" s="261" t="s">
        <v>5698</v>
      </c>
      <c r="D309" s="264" t="s">
        <v>5699</v>
      </c>
      <c r="E309" s="265" t="s">
        <v>5173</v>
      </c>
      <c r="F309" s="268" t="s">
        <v>5689</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5628</v>
      </c>
      <c r="B310" s="260" t="s">
        <v>1443</v>
      </c>
      <c r="C310" s="261" t="s">
        <v>5700</v>
      </c>
      <c r="D310" s="264" t="s">
        <v>5701</v>
      </c>
      <c r="E310" s="265" t="s">
        <v>5173</v>
      </c>
      <c r="F310" s="268" t="s">
        <v>5689</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5628</v>
      </c>
      <c r="B311" s="260" t="s">
        <v>1443</v>
      </c>
      <c r="C311" s="261" t="s">
        <v>5702</v>
      </c>
      <c r="D311" s="264" t="s">
        <v>5703</v>
      </c>
      <c r="E311" s="265" t="s">
        <v>5173</v>
      </c>
      <c r="F311" s="268" t="s">
        <v>5689</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5628</v>
      </c>
      <c r="B312" s="260" t="s">
        <v>1443</v>
      </c>
      <c r="C312" s="261" t="s">
        <v>5704</v>
      </c>
      <c r="D312" s="264" t="s">
        <v>5705</v>
      </c>
      <c r="E312" s="265" t="s">
        <v>5173</v>
      </c>
      <c r="F312" s="268" t="s">
        <v>5689</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5628</v>
      </c>
      <c r="B313" s="260" t="s">
        <v>1443</v>
      </c>
      <c r="C313" s="261" t="s">
        <v>5706</v>
      </c>
      <c r="D313" s="264" t="s">
        <v>5707</v>
      </c>
      <c r="E313" s="265" t="s">
        <v>5106</v>
      </c>
      <c r="F313" s="268" t="s">
        <v>5689</v>
      </c>
      <c r="G313" s="271">
        <f>IF(COUNTIF(H313:AU313,"&lt;&gt;")=0,"",SUMPRODUCT(((Recommendations[ImplStatus]="Implemented")+(Recommendations[ImplStatus]="Compensated"))*ISNUMBER(MATCH(Recommendations[Id],H313:AU313,0)))/COUNTIF(H313:AU313,"&lt;&gt;"))</f>
        <v>0</v>
      </c>
      <c r="H313" s="272" t="s">
        <v>51</v>
      </c>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5628</v>
      </c>
      <c r="B314" s="260" t="s">
        <v>1443</v>
      </c>
      <c r="C314" s="261" t="s">
        <v>5708</v>
      </c>
      <c r="D314" s="264" t="s">
        <v>5709</v>
      </c>
      <c r="E314" s="265" t="s">
        <v>5106</v>
      </c>
      <c r="F314" s="268" t="s">
        <v>5689</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5628</v>
      </c>
      <c r="B315" s="260" t="s">
        <v>1443</v>
      </c>
      <c r="C315" s="261" t="s">
        <v>5710</v>
      </c>
      <c r="D315" s="264" t="s">
        <v>5711</v>
      </c>
      <c r="E315" s="265" t="s">
        <v>5106</v>
      </c>
      <c r="F315" s="268" t="s">
        <v>5689</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5628</v>
      </c>
      <c r="B316" s="260" t="s">
        <v>1443</v>
      </c>
      <c r="C316" s="261" t="s">
        <v>5712</v>
      </c>
      <c r="D316" s="264" t="s">
        <v>5713</v>
      </c>
      <c r="E316" s="265" t="s">
        <v>5106</v>
      </c>
      <c r="F316" s="268" t="s">
        <v>5689</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5628</v>
      </c>
      <c r="B317" s="260" t="s">
        <v>1443</v>
      </c>
      <c r="C317" s="261" t="s">
        <v>5714</v>
      </c>
      <c r="D317" s="264" t="s">
        <v>5715</v>
      </c>
      <c r="E317" s="265" t="s">
        <v>5173</v>
      </c>
      <c r="F317" s="268" t="s">
        <v>5647</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5628</v>
      </c>
      <c r="B318" s="260" t="s">
        <v>1443</v>
      </c>
      <c r="C318" s="261" t="s">
        <v>5716</v>
      </c>
      <c r="D318" s="264" t="s">
        <v>5717</v>
      </c>
      <c r="E318" s="265" t="s">
        <v>5221</v>
      </c>
      <c r="F318" s="268" t="s">
        <v>5647</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5628</v>
      </c>
      <c r="B319" s="260" t="s">
        <v>1443</v>
      </c>
      <c r="C319" s="261" t="s">
        <v>5718</v>
      </c>
      <c r="D319" s="264" t="s">
        <v>5719</v>
      </c>
      <c r="E319" s="265" t="s">
        <v>5221</v>
      </c>
      <c r="F319" s="268" t="s">
        <v>5647</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5628</v>
      </c>
      <c r="B320" s="259" t="s">
        <v>5720</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5628</v>
      </c>
      <c r="B321" s="260" t="s">
        <v>5720</v>
      </c>
      <c r="C321" s="261" t="s">
        <v>5721</v>
      </c>
      <c r="D321" s="264" t="s">
        <v>5722</v>
      </c>
      <c r="E321" s="265" t="s">
        <v>5106</v>
      </c>
      <c r="F321" s="268" t="s">
        <v>5723</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5628</v>
      </c>
      <c r="B322" s="260" t="s">
        <v>5720</v>
      </c>
      <c r="C322" s="261" t="s">
        <v>5724</v>
      </c>
      <c r="D322" s="264" t="s">
        <v>5725</v>
      </c>
      <c r="E322" s="265" t="s">
        <v>5106</v>
      </c>
      <c r="F322" s="268" t="s">
        <v>5723</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5628</v>
      </c>
      <c r="B323" s="260" t="s">
        <v>5720</v>
      </c>
      <c r="C323" s="261" t="s">
        <v>5726</v>
      </c>
      <c r="D323" s="264" t="s">
        <v>5727</v>
      </c>
      <c r="E323" s="265" t="s">
        <v>5106</v>
      </c>
      <c r="F323" s="268" t="s">
        <v>5723</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5628</v>
      </c>
      <c r="B324" s="260" t="s">
        <v>5720</v>
      </c>
      <c r="C324" s="261" t="s">
        <v>5728</v>
      </c>
      <c r="D324" s="264" t="s">
        <v>5729</v>
      </c>
      <c r="E324" s="265" t="s">
        <v>5106</v>
      </c>
      <c r="F324" s="268" t="s">
        <v>5723</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5628</v>
      </c>
      <c r="B325" s="260" t="s">
        <v>5720</v>
      </c>
      <c r="C325" s="261" t="s">
        <v>5730</v>
      </c>
      <c r="D325" s="264" t="s">
        <v>5731</v>
      </c>
      <c r="E325" s="265" t="s">
        <v>5106</v>
      </c>
      <c r="F325" s="268" t="s">
        <v>5723</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5628</v>
      </c>
      <c r="B326" s="260" t="s">
        <v>5720</v>
      </c>
      <c r="C326" s="261" t="s">
        <v>5732</v>
      </c>
      <c r="D326" s="264" t="s">
        <v>5733</v>
      </c>
      <c r="E326" s="265" t="s">
        <v>5106</v>
      </c>
      <c r="F326" s="268" t="s">
        <v>5723</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5628</v>
      </c>
      <c r="B327" s="260" t="s">
        <v>5720</v>
      </c>
      <c r="C327" s="261" t="s">
        <v>5734</v>
      </c>
      <c r="D327" s="264" t="s">
        <v>5735</v>
      </c>
      <c r="E327" s="265" t="s">
        <v>5106</v>
      </c>
      <c r="F327" s="268" t="s">
        <v>5723</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5628</v>
      </c>
      <c r="B328" s="260" t="s">
        <v>5720</v>
      </c>
      <c r="C328" s="261" t="s">
        <v>5736</v>
      </c>
      <c r="D328" s="264" t="s">
        <v>5737</v>
      </c>
      <c r="E328" s="265" t="s">
        <v>5106</v>
      </c>
      <c r="F328" s="268" t="s">
        <v>5723</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5628</v>
      </c>
      <c r="B329" s="260" t="s">
        <v>5720</v>
      </c>
      <c r="C329" s="261" t="s">
        <v>5738</v>
      </c>
      <c r="D329" s="264" t="s">
        <v>5739</v>
      </c>
      <c r="E329" s="265" t="s">
        <v>5106</v>
      </c>
      <c r="F329" s="268" t="s">
        <v>5723</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5628</v>
      </c>
      <c r="B330" s="260" t="s">
        <v>5720</v>
      </c>
      <c r="C330" s="261" t="s">
        <v>5740</v>
      </c>
      <c r="D330" s="264" t="s">
        <v>5741</v>
      </c>
      <c r="E330" s="265" t="s">
        <v>5106</v>
      </c>
      <c r="F330" s="268" t="s">
        <v>5723</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5628</v>
      </c>
      <c r="B331" s="260" t="s">
        <v>5720</v>
      </c>
      <c r="C331" s="261" t="s">
        <v>5742</v>
      </c>
      <c r="D331" s="264" t="s">
        <v>5743</v>
      </c>
      <c r="E331" s="265" t="s">
        <v>5106</v>
      </c>
      <c r="F331" s="268" t="s">
        <v>5723</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5628</v>
      </c>
      <c r="B332" s="260" t="s">
        <v>5720</v>
      </c>
      <c r="C332" s="261" t="s">
        <v>5744</v>
      </c>
      <c r="D332" s="264" t="s">
        <v>5745</v>
      </c>
      <c r="E332" s="265" t="s">
        <v>5106</v>
      </c>
      <c r="F332" s="268" t="s">
        <v>5723</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5628</v>
      </c>
      <c r="B333" s="260" t="s">
        <v>5720</v>
      </c>
      <c r="C333" s="261" t="s">
        <v>5746</v>
      </c>
      <c r="D333" s="264" t="s">
        <v>5747</v>
      </c>
      <c r="E333" s="265" t="s">
        <v>5106</v>
      </c>
      <c r="F333" s="268" t="s">
        <v>5723</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5628</v>
      </c>
      <c r="B334" s="260" t="s">
        <v>5720</v>
      </c>
      <c r="C334" s="261" t="s">
        <v>5748</v>
      </c>
      <c r="D334" s="264" t="s">
        <v>5749</v>
      </c>
      <c r="E334" s="265" t="s">
        <v>5106</v>
      </c>
      <c r="F334" s="268" t="s">
        <v>5723</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5628</v>
      </c>
      <c r="B335" s="260" t="s">
        <v>5720</v>
      </c>
      <c r="C335" s="261" t="s">
        <v>5750</v>
      </c>
      <c r="D335" s="264" t="s">
        <v>5751</v>
      </c>
      <c r="E335" s="265" t="s">
        <v>5106</v>
      </c>
      <c r="F335" s="268" t="s">
        <v>5723</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5628</v>
      </c>
      <c r="B336" s="260" t="s">
        <v>5720</v>
      </c>
      <c r="C336" s="261" t="s">
        <v>5752</v>
      </c>
      <c r="D336" s="264" t="s">
        <v>5753</v>
      </c>
      <c r="E336" s="265" t="s">
        <v>5221</v>
      </c>
      <c r="F336" s="268" t="s">
        <v>5723</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5628</v>
      </c>
      <c r="B337" s="260" t="s">
        <v>5720</v>
      </c>
      <c r="C337" s="261" t="s">
        <v>5754</v>
      </c>
      <c r="D337" s="264" t="s">
        <v>5755</v>
      </c>
      <c r="E337" s="265" t="s">
        <v>5221</v>
      </c>
      <c r="F337" s="268" t="s">
        <v>5723</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5628</v>
      </c>
      <c r="B338" s="260" t="s">
        <v>5720</v>
      </c>
      <c r="C338" s="261" t="s">
        <v>5756</v>
      </c>
      <c r="D338" s="264" t="s">
        <v>5757</v>
      </c>
      <c r="E338" s="265" t="s">
        <v>5106</v>
      </c>
      <c r="F338" s="268" t="s">
        <v>5723</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5628</v>
      </c>
      <c r="B339" s="260" t="s">
        <v>5720</v>
      </c>
      <c r="C339" s="261" t="s">
        <v>5758</v>
      </c>
      <c r="D339" s="264" t="s">
        <v>5759</v>
      </c>
      <c r="E339" s="265" t="s">
        <v>5106</v>
      </c>
      <c r="F339" s="268" t="s">
        <v>5723</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5628</v>
      </c>
      <c r="B340" s="259" t="s">
        <v>5760</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5628</v>
      </c>
      <c r="B341" s="260" t="s">
        <v>5760</v>
      </c>
      <c r="C341" s="261" t="s">
        <v>5761</v>
      </c>
      <c r="D341" s="264" t="s">
        <v>5762</v>
      </c>
      <c r="E341" s="265" t="s">
        <v>5077</v>
      </c>
      <c r="F341" s="268" t="s">
        <v>5647</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5628</v>
      </c>
      <c r="B342" s="260" t="s">
        <v>5760</v>
      </c>
      <c r="C342" s="261" t="s">
        <v>5763</v>
      </c>
      <c r="D342" s="264" t="s">
        <v>5764</v>
      </c>
      <c r="E342" s="265" t="s">
        <v>5077</v>
      </c>
      <c r="F342" s="268" t="s">
        <v>5647</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5628</v>
      </c>
      <c r="B343" s="260" t="s">
        <v>5760</v>
      </c>
      <c r="C343" s="261" t="s">
        <v>5765</v>
      </c>
      <c r="D343" s="264" t="s">
        <v>5766</v>
      </c>
      <c r="E343" s="265" t="s">
        <v>5173</v>
      </c>
      <c r="F343" s="268" t="s">
        <v>5767</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5628</v>
      </c>
      <c r="B344" s="260" t="s">
        <v>5760</v>
      </c>
      <c r="C344" s="261" t="s">
        <v>5768</v>
      </c>
      <c r="D344" s="264" t="s">
        <v>5769</v>
      </c>
      <c r="E344" s="265" t="s">
        <v>5106</v>
      </c>
      <c r="F344" s="268" t="s">
        <v>5767</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5628</v>
      </c>
      <c r="B345" s="260" t="s">
        <v>5760</v>
      </c>
      <c r="C345" s="261" t="s">
        <v>5770</v>
      </c>
      <c r="D345" s="264" t="s">
        <v>5771</v>
      </c>
      <c r="E345" s="265" t="s">
        <v>5106</v>
      </c>
      <c r="F345" s="268" t="s">
        <v>5767</v>
      </c>
      <c r="G345" s="271">
        <f>IF(COUNTIF(H345:AU345,"&lt;&gt;")=0,"",SUMPRODUCT(((Recommendations[ImplStatus]="Implemented")+(Recommendations[ImplStatus]="Compensated"))*ISNUMBER(MATCH(Recommendations[Id],H345:AU345,0)))/COUNTIF(H345:AU345,"&lt;&gt;"))</f>
        <v>0</v>
      </c>
      <c r="H345" s="272" t="s">
        <v>25</v>
      </c>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5628</v>
      </c>
      <c r="B346" s="260" t="s">
        <v>5760</v>
      </c>
      <c r="C346" s="261" t="s">
        <v>5772</v>
      </c>
      <c r="D346" s="264" t="s">
        <v>5773</v>
      </c>
      <c r="E346" s="265" t="s">
        <v>5106</v>
      </c>
      <c r="F346" s="268" t="s">
        <v>5767</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5628</v>
      </c>
      <c r="B347" s="260" t="s">
        <v>5760</v>
      </c>
      <c r="C347" s="261" t="s">
        <v>5774</v>
      </c>
      <c r="D347" s="264" t="s">
        <v>5775</v>
      </c>
      <c r="E347" s="265" t="s">
        <v>5106</v>
      </c>
      <c r="F347" s="268" t="s">
        <v>5767</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5628</v>
      </c>
      <c r="B348" s="260" t="s">
        <v>5760</v>
      </c>
      <c r="C348" s="261" t="s">
        <v>5776</v>
      </c>
      <c r="D348" s="264" t="s">
        <v>5777</v>
      </c>
      <c r="E348" s="265" t="s">
        <v>5106</v>
      </c>
      <c r="F348" s="268" t="s">
        <v>5767</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5628</v>
      </c>
      <c r="B349" s="260" t="s">
        <v>5760</v>
      </c>
      <c r="C349" s="261" t="s">
        <v>5778</v>
      </c>
      <c r="D349" s="264" t="s">
        <v>5779</v>
      </c>
      <c r="E349" s="265" t="s">
        <v>5106</v>
      </c>
      <c r="F349" s="268" t="s">
        <v>5767</v>
      </c>
      <c r="G349" s="271">
        <f>IF(COUNTIF(H349:AU349,"&lt;&gt;")=0,"",SUMPRODUCT(((Recommendations[ImplStatus]="Implemented")+(Recommendations[ImplStatus]="Compensated"))*ISNUMBER(MATCH(Recommendations[Id],H349:AU349,0)))/COUNTIF(H349:AU349,"&lt;&gt;"))</f>
        <v>0</v>
      </c>
      <c r="H349" s="272" t="s">
        <v>56</v>
      </c>
      <c r="I349" s="272" t="s">
        <v>145</v>
      </c>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5628</v>
      </c>
      <c r="B350" s="260" t="s">
        <v>5760</v>
      </c>
      <c r="C350" s="261" t="s">
        <v>5780</v>
      </c>
      <c r="D350" s="264" t="s">
        <v>5781</v>
      </c>
      <c r="E350" s="265" t="s">
        <v>5077</v>
      </c>
      <c r="F350" s="268" t="s">
        <v>5767</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5628</v>
      </c>
      <c r="B351" s="260" t="s">
        <v>5760</v>
      </c>
      <c r="C351" s="261" t="s">
        <v>5782</v>
      </c>
      <c r="D351" s="264" t="s">
        <v>5783</v>
      </c>
      <c r="E351" s="265" t="s">
        <v>5077</v>
      </c>
      <c r="F351" s="268" t="s">
        <v>5767</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5628</v>
      </c>
      <c r="B352" s="260" t="s">
        <v>5760</v>
      </c>
      <c r="C352" s="261" t="s">
        <v>5784</v>
      </c>
      <c r="D352" s="264" t="s">
        <v>5785</v>
      </c>
      <c r="E352" s="265" t="s">
        <v>5077</v>
      </c>
      <c r="F352" s="268" t="s">
        <v>5767</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5628</v>
      </c>
      <c r="B353" s="260" t="s">
        <v>5760</v>
      </c>
      <c r="C353" s="261" t="s">
        <v>5786</v>
      </c>
      <c r="D353" s="264" t="s">
        <v>5787</v>
      </c>
      <c r="E353" s="265" t="s">
        <v>5173</v>
      </c>
      <c r="F353" s="268" t="s">
        <v>5647</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5628</v>
      </c>
      <c r="B354" s="259" t="s">
        <v>5788</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5628</v>
      </c>
      <c r="B355" s="260" t="s">
        <v>5788</v>
      </c>
      <c r="C355" s="261" t="s">
        <v>5789</v>
      </c>
      <c r="D355" s="264" t="s">
        <v>5790</v>
      </c>
      <c r="E355" s="265" t="s">
        <v>5173</v>
      </c>
      <c r="F355" s="268" t="s">
        <v>5791</v>
      </c>
      <c r="G355" s="271">
        <f>IF(COUNTIF(H355:AU355,"&lt;&gt;")=0,"",SUMPRODUCT(((Recommendations[ImplStatus]="Implemented")+(Recommendations[ImplStatus]="Compensated"))*ISNUMBER(MATCH(Recommendations[Id],H355:AU355,0)))/COUNTIF(H355:AU355,"&lt;&gt;"))</f>
        <v>0</v>
      </c>
      <c r="H355" s="272" t="s">
        <v>94</v>
      </c>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5628</v>
      </c>
      <c r="B356" s="260" t="s">
        <v>5788</v>
      </c>
      <c r="C356" s="261" t="s">
        <v>5792</v>
      </c>
      <c r="D356" s="264" t="s">
        <v>5793</v>
      </c>
      <c r="E356" s="265" t="s">
        <v>5173</v>
      </c>
      <c r="F356" s="268" t="s">
        <v>5791</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5628</v>
      </c>
      <c r="B357" s="260" t="s">
        <v>5788</v>
      </c>
      <c r="C357" s="261" t="s">
        <v>5794</v>
      </c>
      <c r="D357" s="264" t="s">
        <v>5795</v>
      </c>
      <c r="E357" s="265" t="s">
        <v>5221</v>
      </c>
      <c r="F357" s="268" t="s">
        <v>5791</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5628</v>
      </c>
      <c r="B358" s="260" t="s">
        <v>5788</v>
      </c>
      <c r="C358" s="261" t="s">
        <v>5796</v>
      </c>
      <c r="D358" s="264" t="s">
        <v>5797</v>
      </c>
      <c r="E358" s="265" t="s">
        <v>5221</v>
      </c>
      <c r="F358" s="268" t="s">
        <v>5791</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5628</v>
      </c>
      <c r="B359" s="260" t="s">
        <v>5788</v>
      </c>
      <c r="C359" s="261" t="s">
        <v>5798</v>
      </c>
      <c r="D359" s="264" t="s">
        <v>5799</v>
      </c>
      <c r="E359" s="265" t="s">
        <v>5221</v>
      </c>
      <c r="F359" s="268" t="s">
        <v>5791</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5628</v>
      </c>
      <c r="B360" s="260" t="s">
        <v>5788</v>
      </c>
      <c r="C360" s="261" t="s">
        <v>5800</v>
      </c>
      <c r="D360" s="264" t="s">
        <v>5801</v>
      </c>
      <c r="E360" s="265" t="s">
        <v>5173</v>
      </c>
      <c r="F360" s="268" t="s">
        <v>5791</v>
      </c>
      <c r="G360" s="271">
        <f>IF(COUNTIF(H360:AU360,"&lt;&gt;")=0,"",SUMPRODUCT(((Recommendations[ImplStatus]="Implemented")+(Recommendations[ImplStatus]="Compensated"))*ISNUMBER(MATCH(Recommendations[Id],H360:AU360,0)))/COUNTIF(H360:AU360,"&lt;&gt;"))</f>
        <v>0</v>
      </c>
      <c r="H360" s="272" t="s">
        <v>14</v>
      </c>
      <c r="I360" s="272" t="s">
        <v>109</v>
      </c>
      <c r="J360" s="272" t="s">
        <v>176</v>
      </c>
      <c r="K360" s="272" t="s">
        <v>275</v>
      </c>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5628</v>
      </c>
      <c r="B361" s="260" t="s">
        <v>5788</v>
      </c>
      <c r="C361" s="261" t="s">
        <v>5802</v>
      </c>
      <c r="D361" s="264" t="s">
        <v>5803</v>
      </c>
      <c r="E361" s="265" t="s">
        <v>5106</v>
      </c>
      <c r="F361" s="268" t="s">
        <v>5791</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5628</v>
      </c>
      <c r="B362" s="260" t="s">
        <v>5788</v>
      </c>
      <c r="C362" s="261" t="s">
        <v>5804</v>
      </c>
      <c r="D362" s="264" t="s">
        <v>5805</v>
      </c>
      <c r="E362" s="265" t="s">
        <v>5221</v>
      </c>
      <c r="F362" s="268" t="s">
        <v>5791</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5628</v>
      </c>
      <c r="B363" s="260" t="s">
        <v>5788</v>
      </c>
      <c r="C363" s="261" t="s">
        <v>5806</v>
      </c>
      <c r="D363" s="264" t="s">
        <v>5807</v>
      </c>
      <c r="E363" s="265" t="s">
        <v>5221</v>
      </c>
      <c r="F363" s="268" t="s">
        <v>5791</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5628</v>
      </c>
      <c r="B364" s="260" t="s">
        <v>5788</v>
      </c>
      <c r="C364" s="261" t="s">
        <v>5808</v>
      </c>
      <c r="D364" s="264" t="s">
        <v>5809</v>
      </c>
      <c r="E364" s="265" t="s">
        <v>5221</v>
      </c>
      <c r="F364" s="268" t="s">
        <v>5791</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5628</v>
      </c>
      <c r="B365" s="260" t="s">
        <v>5788</v>
      </c>
      <c r="C365" s="261" t="s">
        <v>5810</v>
      </c>
      <c r="D365" s="264" t="s">
        <v>5811</v>
      </c>
      <c r="E365" s="265" t="s">
        <v>5221</v>
      </c>
      <c r="F365" s="268" t="s">
        <v>5791</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5628</v>
      </c>
      <c r="B366" s="260" t="s">
        <v>5788</v>
      </c>
      <c r="C366" s="261" t="s">
        <v>5812</v>
      </c>
      <c r="D366" s="264" t="s">
        <v>5813</v>
      </c>
      <c r="E366" s="265" t="s">
        <v>5221</v>
      </c>
      <c r="F366" s="268" t="s">
        <v>5791</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5628</v>
      </c>
      <c r="B367" s="260" t="s">
        <v>5788</v>
      </c>
      <c r="C367" s="261" t="s">
        <v>5814</v>
      </c>
      <c r="D367" s="264" t="s">
        <v>5815</v>
      </c>
      <c r="E367" s="265" t="s">
        <v>5221</v>
      </c>
      <c r="F367" s="268" t="s">
        <v>5791</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5628</v>
      </c>
      <c r="B368" s="260" t="s">
        <v>5788</v>
      </c>
      <c r="C368" s="261" t="s">
        <v>5816</v>
      </c>
      <c r="D368" s="264" t="s">
        <v>5817</v>
      </c>
      <c r="E368" s="265" t="s">
        <v>5221</v>
      </c>
      <c r="F368" s="268" t="s">
        <v>5791</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5628</v>
      </c>
      <c r="B369" s="260" t="s">
        <v>5788</v>
      </c>
      <c r="C369" s="261" t="s">
        <v>5818</v>
      </c>
      <c r="D369" s="264" t="s">
        <v>5819</v>
      </c>
      <c r="E369" s="265" t="s">
        <v>5221</v>
      </c>
      <c r="F369" s="268" t="s">
        <v>5791</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5820</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5820</v>
      </c>
      <c r="B371" s="259" t="s">
        <v>5821</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5820</v>
      </c>
      <c r="B372" s="260" t="s">
        <v>5821</v>
      </c>
      <c r="C372" s="261" t="s">
        <v>5822</v>
      </c>
      <c r="D372" s="264" t="s">
        <v>5823</v>
      </c>
      <c r="E372" s="265" t="s">
        <v>5077</v>
      </c>
      <c r="F372" s="268" t="s">
        <v>5824</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5820</v>
      </c>
      <c r="B373" s="260" t="s">
        <v>5821</v>
      </c>
      <c r="C373" s="261" t="s">
        <v>5825</v>
      </c>
      <c r="D373" s="264" t="s">
        <v>5826</v>
      </c>
      <c r="E373" s="265" t="s">
        <v>5077</v>
      </c>
      <c r="F373" s="268" t="s">
        <v>5827</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5820</v>
      </c>
      <c r="B374" s="260" t="s">
        <v>5821</v>
      </c>
      <c r="C374" s="261" t="s">
        <v>5828</v>
      </c>
      <c r="D374" s="264" t="s">
        <v>5829</v>
      </c>
      <c r="E374" s="265" t="s">
        <v>5106</v>
      </c>
      <c r="F374" s="268" t="s">
        <v>5827</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5820</v>
      </c>
      <c r="B375" s="260" t="s">
        <v>5821</v>
      </c>
      <c r="C375" s="261" t="s">
        <v>5830</v>
      </c>
      <c r="D375" s="264" t="s">
        <v>5831</v>
      </c>
      <c r="E375" s="265" t="s">
        <v>5106</v>
      </c>
      <c r="F375" s="268" t="s">
        <v>5827</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5820</v>
      </c>
      <c r="B376" s="260" t="s">
        <v>5821</v>
      </c>
      <c r="C376" s="261" t="s">
        <v>5832</v>
      </c>
      <c r="D376" s="264" t="s">
        <v>5833</v>
      </c>
      <c r="E376" s="265" t="s">
        <v>5106</v>
      </c>
      <c r="F376" s="268" t="s">
        <v>5689</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5820</v>
      </c>
      <c r="B377" s="260" t="s">
        <v>5821</v>
      </c>
      <c r="C377" s="261" t="s">
        <v>5834</v>
      </c>
      <c r="D377" s="264" t="s">
        <v>5835</v>
      </c>
      <c r="E377" s="265" t="s">
        <v>5173</v>
      </c>
      <c r="F377" s="268" t="s">
        <v>5647</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5820</v>
      </c>
      <c r="B378" s="260" t="s">
        <v>5821</v>
      </c>
      <c r="C378" s="261" t="s">
        <v>5836</v>
      </c>
      <c r="D378" s="264" t="s">
        <v>5837</v>
      </c>
      <c r="E378" s="265" t="s">
        <v>5173</v>
      </c>
      <c r="F378" s="268" t="s">
        <v>5827</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5820</v>
      </c>
      <c r="B379" s="260" t="s">
        <v>5821</v>
      </c>
      <c r="C379" s="261" t="s">
        <v>5838</v>
      </c>
      <c r="D379" s="264" t="s">
        <v>5839</v>
      </c>
      <c r="E379" s="265" t="s">
        <v>5173</v>
      </c>
      <c r="F379" s="268" t="s">
        <v>5824</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5820</v>
      </c>
      <c r="B380" s="260" t="s">
        <v>5821</v>
      </c>
      <c r="C380" s="261" t="s">
        <v>5840</v>
      </c>
      <c r="D380" s="264" t="s">
        <v>5841</v>
      </c>
      <c r="E380" s="265" t="s">
        <v>5173</v>
      </c>
      <c r="F380" s="268" t="s">
        <v>5824</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5820</v>
      </c>
      <c r="B381" s="260" t="s">
        <v>5821</v>
      </c>
      <c r="C381" s="261" t="s">
        <v>5842</v>
      </c>
      <c r="D381" s="264" t="s">
        <v>5843</v>
      </c>
      <c r="E381" s="265" t="s">
        <v>5173</v>
      </c>
      <c r="F381" s="268" t="s">
        <v>5824</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5820</v>
      </c>
      <c r="B382" s="260" t="s">
        <v>5821</v>
      </c>
      <c r="C382" s="261" t="s">
        <v>5844</v>
      </c>
      <c r="D382" s="264" t="s">
        <v>5845</v>
      </c>
      <c r="E382" s="265" t="s">
        <v>5221</v>
      </c>
      <c r="F382" s="268" t="s">
        <v>5824</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5820</v>
      </c>
      <c r="B383" s="260" t="s">
        <v>5821</v>
      </c>
      <c r="C383" s="261" t="s">
        <v>5846</v>
      </c>
      <c r="D383" s="264" t="s">
        <v>5847</v>
      </c>
      <c r="E383" s="265" t="s">
        <v>5221</v>
      </c>
      <c r="F383" s="268" t="s">
        <v>5824</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5820</v>
      </c>
      <c r="B384" s="260" t="s">
        <v>5821</v>
      </c>
      <c r="C384" s="261" t="s">
        <v>5848</v>
      </c>
      <c r="D384" s="264" t="s">
        <v>5849</v>
      </c>
      <c r="E384" s="265" t="s">
        <v>5221</v>
      </c>
      <c r="F384" s="268" t="s">
        <v>5824</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5820</v>
      </c>
      <c r="B385" s="260" t="s">
        <v>5821</v>
      </c>
      <c r="C385" s="261" t="s">
        <v>5850</v>
      </c>
      <c r="D385" s="264" t="s">
        <v>5851</v>
      </c>
      <c r="E385" s="265" t="s">
        <v>5173</v>
      </c>
      <c r="F385" s="268" t="s">
        <v>5824</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5820</v>
      </c>
      <c r="B386" s="259" t="s">
        <v>5852</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5820</v>
      </c>
      <c r="B387" s="260" t="s">
        <v>5852</v>
      </c>
      <c r="C387" s="261" t="s">
        <v>5853</v>
      </c>
      <c r="D387" s="264" t="s">
        <v>5854</v>
      </c>
      <c r="E387" s="265" t="s">
        <v>5077</v>
      </c>
      <c r="F387" s="268" t="s">
        <v>5855</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5820</v>
      </c>
      <c r="B388" s="260" t="s">
        <v>5852</v>
      </c>
      <c r="C388" s="261" t="s">
        <v>5856</v>
      </c>
      <c r="D388" s="264" t="s">
        <v>5857</v>
      </c>
      <c r="E388" s="265" t="s">
        <v>5077</v>
      </c>
      <c r="F388" s="268" t="s">
        <v>5855</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5820</v>
      </c>
      <c r="B389" s="260" t="s">
        <v>5852</v>
      </c>
      <c r="C389" s="261" t="s">
        <v>5858</v>
      </c>
      <c r="D389" s="264" t="s">
        <v>5859</v>
      </c>
      <c r="E389" s="265" t="s">
        <v>5356</v>
      </c>
      <c r="F389" s="268" t="s">
        <v>5855</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5820</v>
      </c>
      <c r="B390" s="260" t="s">
        <v>5852</v>
      </c>
      <c r="C390" s="261" t="s">
        <v>5860</v>
      </c>
      <c r="D390" s="264" t="s">
        <v>5861</v>
      </c>
      <c r="E390" s="265" t="s">
        <v>5173</v>
      </c>
      <c r="F390" s="268" t="s">
        <v>5855</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5820</v>
      </c>
      <c r="B391" s="260" t="s">
        <v>5852</v>
      </c>
      <c r="C391" s="261" t="s">
        <v>5862</v>
      </c>
      <c r="D391" s="264" t="s">
        <v>5863</v>
      </c>
      <c r="E391" s="265" t="s">
        <v>5356</v>
      </c>
      <c r="F391" s="268" t="s">
        <v>5855</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5820</v>
      </c>
      <c r="B392" s="260" t="s">
        <v>5852</v>
      </c>
      <c r="C392" s="261" t="s">
        <v>5864</v>
      </c>
      <c r="D392" s="264" t="s">
        <v>5865</v>
      </c>
      <c r="E392" s="265" t="s">
        <v>5106</v>
      </c>
      <c r="F392" s="268" t="s">
        <v>5855</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5820</v>
      </c>
      <c r="B393" s="260" t="s">
        <v>5852</v>
      </c>
      <c r="C393" s="261" t="s">
        <v>5866</v>
      </c>
      <c r="D393" s="264" t="s">
        <v>5867</v>
      </c>
      <c r="E393" s="265" t="s">
        <v>5106</v>
      </c>
      <c r="F393" s="268" t="s">
        <v>5855</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5820</v>
      </c>
      <c r="B394" s="260" t="s">
        <v>5852</v>
      </c>
      <c r="C394" s="261" t="s">
        <v>5868</v>
      </c>
      <c r="D394" s="264" t="s">
        <v>5869</v>
      </c>
      <c r="E394" s="265" t="s">
        <v>5356</v>
      </c>
      <c r="F394" s="268" t="s">
        <v>5855</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5820</v>
      </c>
      <c r="B395" s="260" t="s">
        <v>5852</v>
      </c>
      <c r="C395" s="261" t="s">
        <v>5870</v>
      </c>
      <c r="D395" s="264" t="s">
        <v>5871</v>
      </c>
      <c r="E395" s="265" t="s">
        <v>5173</v>
      </c>
      <c r="F395" s="268" t="s">
        <v>5855</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5820</v>
      </c>
      <c r="B396" s="260" t="s">
        <v>5852</v>
      </c>
      <c r="C396" s="261" t="s">
        <v>5872</v>
      </c>
      <c r="D396" s="264" t="s">
        <v>5873</v>
      </c>
      <c r="E396" s="265" t="s">
        <v>5356</v>
      </c>
      <c r="F396" s="268" t="s">
        <v>5855</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5820</v>
      </c>
      <c r="B397" s="260" t="s">
        <v>5852</v>
      </c>
      <c r="C397" s="261" t="s">
        <v>5874</v>
      </c>
      <c r="D397" s="264" t="s">
        <v>5875</v>
      </c>
      <c r="E397" s="265" t="s">
        <v>5106</v>
      </c>
      <c r="F397" s="268" t="s">
        <v>5855</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5820</v>
      </c>
      <c r="B398" s="260" t="s">
        <v>5852</v>
      </c>
      <c r="C398" s="261" t="s">
        <v>5876</v>
      </c>
      <c r="D398" s="264" t="s">
        <v>5877</v>
      </c>
      <c r="E398" s="265" t="s">
        <v>5221</v>
      </c>
      <c r="F398" s="268" t="s">
        <v>5855</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5820</v>
      </c>
      <c r="B399" s="260" t="s">
        <v>5852</v>
      </c>
      <c r="C399" s="261" t="s">
        <v>5878</v>
      </c>
      <c r="D399" s="264" t="s">
        <v>5879</v>
      </c>
      <c r="E399" s="265" t="s">
        <v>5356</v>
      </c>
      <c r="F399" s="268" t="s">
        <v>5855</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5820</v>
      </c>
      <c r="B400" s="260" t="s">
        <v>5852</v>
      </c>
      <c r="C400" s="261" t="s">
        <v>5880</v>
      </c>
      <c r="D400" s="264" t="s">
        <v>5881</v>
      </c>
      <c r="E400" s="265" t="s">
        <v>5356</v>
      </c>
      <c r="F400" s="268" t="s">
        <v>5855</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5820</v>
      </c>
      <c r="B401" s="260" t="s">
        <v>5852</v>
      </c>
      <c r="C401" s="261" t="s">
        <v>5882</v>
      </c>
      <c r="D401" s="264" t="s">
        <v>5883</v>
      </c>
      <c r="E401" s="265" t="s">
        <v>5106</v>
      </c>
      <c r="F401" s="268" t="s">
        <v>5855</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5820</v>
      </c>
      <c r="B402" s="260" t="s">
        <v>5852</v>
      </c>
      <c r="C402" s="261" t="s">
        <v>5884</v>
      </c>
      <c r="D402" s="264" t="s">
        <v>5885</v>
      </c>
      <c r="E402" s="265" t="s">
        <v>5106</v>
      </c>
      <c r="F402" s="268" t="s">
        <v>5855</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5820</v>
      </c>
      <c r="B403" s="260" t="s">
        <v>5852</v>
      </c>
      <c r="C403" s="261" t="s">
        <v>5886</v>
      </c>
      <c r="D403" s="264" t="s">
        <v>5887</v>
      </c>
      <c r="E403" s="265" t="s">
        <v>5106</v>
      </c>
      <c r="F403" s="268" t="s">
        <v>5855</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5820</v>
      </c>
      <c r="B404" s="260" t="s">
        <v>5852</v>
      </c>
      <c r="C404" s="261" t="s">
        <v>5888</v>
      </c>
      <c r="D404" s="264" t="s">
        <v>5889</v>
      </c>
      <c r="E404" s="265" t="s">
        <v>5221</v>
      </c>
      <c r="F404" s="268" t="s">
        <v>5855</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5820</v>
      </c>
      <c r="B405" s="260" t="s">
        <v>5852</v>
      </c>
      <c r="C405" s="261" t="s">
        <v>5890</v>
      </c>
      <c r="D405" s="264" t="s">
        <v>5891</v>
      </c>
      <c r="E405" s="265" t="s">
        <v>5221</v>
      </c>
      <c r="F405" s="268" t="s">
        <v>5855</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5820</v>
      </c>
      <c r="B406" s="260" t="s">
        <v>5852</v>
      </c>
      <c r="C406" s="261" t="s">
        <v>5892</v>
      </c>
      <c r="D406" s="264" t="s">
        <v>5893</v>
      </c>
      <c r="E406" s="265" t="s">
        <v>5221</v>
      </c>
      <c r="F406" s="268" t="s">
        <v>5894</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5820</v>
      </c>
      <c r="B407" s="260" t="s">
        <v>5852</v>
      </c>
      <c r="C407" s="261" t="s">
        <v>5895</v>
      </c>
      <c r="D407" s="264" t="s">
        <v>5896</v>
      </c>
      <c r="E407" s="265" t="s">
        <v>5221</v>
      </c>
      <c r="F407" s="268" t="s">
        <v>5855</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5820</v>
      </c>
      <c r="B408" s="260" t="s">
        <v>5852</v>
      </c>
      <c r="C408" s="261" t="s">
        <v>5897</v>
      </c>
      <c r="D408" s="264" t="s">
        <v>5898</v>
      </c>
      <c r="E408" s="265" t="s">
        <v>5221</v>
      </c>
      <c r="F408" s="268" t="s">
        <v>5855</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5820</v>
      </c>
      <c r="B409" s="260" t="s">
        <v>5852</v>
      </c>
      <c r="C409" s="261" t="s">
        <v>5899</v>
      </c>
      <c r="D409" s="264" t="s">
        <v>5900</v>
      </c>
      <c r="E409" s="265" t="s">
        <v>5221</v>
      </c>
      <c r="F409" s="268" t="s">
        <v>5901</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5820</v>
      </c>
      <c r="B410" s="259" t="s">
        <v>5902</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5820</v>
      </c>
      <c r="B411" s="260" t="s">
        <v>5902</v>
      </c>
      <c r="C411" s="261" t="s">
        <v>5903</v>
      </c>
      <c r="D411" s="264" t="s">
        <v>5904</v>
      </c>
      <c r="E411" s="265" t="s">
        <v>5077</v>
      </c>
      <c r="F411" s="268" t="s">
        <v>5827</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5820</v>
      </c>
      <c r="B412" s="260" t="s">
        <v>5902</v>
      </c>
      <c r="C412" s="261" t="s">
        <v>5905</v>
      </c>
      <c r="D412" s="264" t="s">
        <v>5906</v>
      </c>
      <c r="E412" s="265" t="s">
        <v>5077</v>
      </c>
      <c r="F412" s="268" t="s">
        <v>5827</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5820</v>
      </c>
      <c r="B413" s="260" t="s">
        <v>5902</v>
      </c>
      <c r="C413" s="261" t="s">
        <v>5907</v>
      </c>
      <c r="D413" s="264" t="s">
        <v>5908</v>
      </c>
      <c r="E413" s="265" t="s">
        <v>5077</v>
      </c>
      <c r="F413" s="268" t="s">
        <v>5827</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5820</v>
      </c>
      <c r="B414" s="260" t="s">
        <v>5902</v>
      </c>
      <c r="C414" s="261" t="s">
        <v>5909</v>
      </c>
      <c r="D414" s="264" t="s">
        <v>5910</v>
      </c>
      <c r="E414" s="265" t="s">
        <v>5077</v>
      </c>
      <c r="F414" s="268" t="s">
        <v>5827</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5820</v>
      </c>
      <c r="B415" s="260" t="s">
        <v>5902</v>
      </c>
      <c r="C415" s="261" t="s">
        <v>5911</v>
      </c>
      <c r="D415" s="264" t="s">
        <v>5912</v>
      </c>
      <c r="E415" s="265" t="s">
        <v>5106</v>
      </c>
      <c r="F415" s="268" t="s">
        <v>5827</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5820</v>
      </c>
      <c r="B416" s="260" t="s">
        <v>5902</v>
      </c>
      <c r="C416" s="261" t="s">
        <v>5913</v>
      </c>
      <c r="D416" s="264" t="s">
        <v>5914</v>
      </c>
      <c r="E416" s="265" t="s">
        <v>5106</v>
      </c>
      <c r="F416" s="268" t="s">
        <v>5915</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5820</v>
      </c>
      <c r="B417" s="260" t="s">
        <v>5902</v>
      </c>
      <c r="C417" s="261" t="s">
        <v>5916</v>
      </c>
      <c r="D417" s="264" t="s">
        <v>5917</v>
      </c>
      <c r="E417" s="265" t="s">
        <v>5106</v>
      </c>
      <c r="F417" s="268" t="s">
        <v>5915</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5820</v>
      </c>
      <c r="B418" s="260" t="s">
        <v>5902</v>
      </c>
      <c r="C418" s="261" t="s">
        <v>5918</v>
      </c>
      <c r="D418" s="264" t="s">
        <v>5919</v>
      </c>
      <c r="E418" s="265" t="s">
        <v>5356</v>
      </c>
      <c r="F418" s="268" t="s">
        <v>5915</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5820</v>
      </c>
      <c r="B419" s="260" t="s">
        <v>5902</v>
      </c>
      <c r="C419" s="261" t="s">
        <v>5920</v>
      </c>
      <c r="D419" s="264" t="s">
        <v>5921</v>
      </c>
      <c r="E419" s="265" t="s">
        <v>5106</v>
      </c>
      <c r="F419" s="268" t="s">
        <v>5915</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5820</v>
      </c>
      <c r="B420" s="260" t="s">
        <v>5902</v>
      </c>
      <c r="C420" s="261" t="s">
        <v>5922</v>
      </c>
      <c r="D420" s="264" t="s">
        <v>5923</v>
      </c>
      <c r="E420" s="265" t="s">
        <v>5356</v>
      </c>
      <c r="F420" s="268" t="s">
        <v>5915</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5820</v>
      </c>
      <c r="B421" s="260" t="s">
        <v>5902</v>
      </c>
      <c r="C421" s="261" t="s">
        <v>5924</v>
      </c>
      <c r="D421" s="264" t="s">
        <v>5925</v>
      </c>
      <c r="E421" s="265" t="s">
        <v>5356</v>
      </c>
      <c r="F421" s="268" t="s">
        <v>5915</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5820</v>
      </c>
      <c r="B422" s="260" t="s">
        <v>5902</v>
      </c>
      <c r="C422" s="261" t="s">
        <v>5926</v>
      </c>
      <c r="D422" s="264" t="s">
        <v>5927</v>
      </c>
      <c r="E422" s="265" t="s">
        <v>5106</v>
      </c>
      <c r="F422" s="268" t="s">
        <v>5915</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5820</v>
      </c>
      <c r="B423" s="260" t="s">
        <v>5902</v>
      </c>
      <c r="C423" s="261" t="s">
        <v>5928</v>
      </c>
      <c r="D423" s="264" t="s">
        <v>5929</v>
      </c>
      <c r="E423" s="265" t="s">
        <v>5106</v>
      </c>
      <c r="F423" s="268" t="s">
        <v>5915</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5930</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5930</v>
      </c>
      <c r="B425" s="259" t="s">
        <v>5931</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5930</v>
      </c>
      <c r="B426" s="260" t="s">
        <v>5931</v>
      </c>
      <c r="C426" s="261" t="s">
        <v>5932</v>
      </c>
      <c r="D426" s="264" t="s">
        <v>5933</v>
      </c>
      <c r="E426" s="265" t="s">
        <v>5077</v>
      </c>
      <c r="F426" s="268" t="s">
        <v>5894</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5930</v>
      </c>
      <c r="B427" s="260" t="s">
        <v>5931</v>
      </c>
      <c r="C427" s="261" t="s">
        <v>5934</v>
      </c>
      <c r="D427" s="264" t="s">
        <v>5935</v>
      </c>
      <c r="E427" s="265" t="s">
        <v>5077</v>
      </c>
      <c r="F427" s="268" t="s">
        <v>5894</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5930</v>
      </c>
      <c r="B428" s="260" t="s">
        <v>5931</v>
      </c>
      <c r="C428" s="261" t="s">
        <v>5936</v>
      </c>
      <c r="D428" s="264" t="s">
        <v>5937</v>
      </c>
      <c r="E428" s="265" t="s">
        <v>5356</v>
      </c>
      <c r="F428" s="268" t="s">
        <v>5894</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5930</v>
      </c>
      <c r="B429" s="260" t="s">
        <v>5931</v>
      </c>
      <c r="C429" s="261" t="s">
        <v>5938</v>
      </c>
      <c r="D429" s="264" t="s">
        <v>5939</v>
      </c>
      <c r="E429" s="265" t="s">
        <v>5106</v>
      </c>
      <c r="F429" s="268" t="s">
        <v>5894</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5930</v>
      </c>
      <c r="B430" s="260" t="s">
        <v>5931</v>
      </c>
      <c r="C430" s="261" t="s">
        <v>5940</v>
      </c>
      <c r="D430" s="264" t="s">
        <v>5941</v>
      </c>
      <c r="E430" s="265" t="s">
        <v>5106</v>
      </c>
      <c r="F430" s="268" t="s">
        <v>5894</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5930</v>
      </c>
      <c r="B431" s="260" t="s">
        <v>5931</v>
      </c>
      <c r="C431" s="261" t="s">
        <v>5942</v>
      </c>
      <c r="D431" s="264" t="s">
        <v>5943</v>
      </c>
      <c r="E431" s="265" t="s">
        <v>5356</v>
      </c>
      <c r="F431" s="268" t="s">
        <v>5894</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5930</v>
      </c>
      <c r="B432" s="260" t="s">
        <v>5931</v>
      </c>
      <c r="C432" s="261" t="s">
        <v>5944</v>
      </c>
      <c r="D432" s="264" t="s">
        <v>5945</v>
      </c>
      <c r="E432" s="265" t="s">
        <v>5356</v>
      </c>
      <c r="F432" s="268" t="s">
        <v>5894</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5930</v>
      </c>
      <c r="B433" s="260" t="s">
        <v>5931</v>
      </c>
      <c r="C433" s="261" t="s">
        <v>5946</v>
      </c>
      <c r="D433" s="264" t="s">
        <v>5947</v>
      </c>
      <c r="E433" s="265" t="s">
        <v>5173</v>
      </c>
      <c r="F433" s="268" t="s">
        <v>5894</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5930</v>
      </c>
      <c r="B434" s="260" t="s">
        <v>5931</v>
      </c>
      <c r="C434" s="261" t="s">
        <v>5948</v>
      </c>
      <c r="D434" s="264" t="s">
        <v>5949</v>
      </c>
      <c r="E434" s="265" t="s">
        <v>5173</v>
      </c>
      <c r="F434" s="268" t="s">
        <v>5894</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5930</v>
      </c>
      <c r="B435" s="260" t="s">
        <v>5931</v>
      </c>
      <c r="C435" s="261" t="s">
        <v>5950</v>
      </c>
      <c r="D435" s="264" t="s">
        <v>5951</v>
      </c>
      <c r="E435" s="265" t="s">
        <v>5106</v>
      </c>
      <c r="F435" s="268" t="s">
        <v>5894</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5930</v>
      </c>
      <c r="B436" s="260" t="s">
        <v>5931</v>
      </c>
      <c r="C436" s="261" t="s">
        <v>5952</v>
      </c>
      <c r="D436" s="264" t="s">
        <v>5953</v>
      </c>
      <c r="E436" s="265" t="s">
        <v>5173</v>
      </c>
      <c r="F436" s="268" t="s">
        <v>5894</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5930</v>
      </c>
      <c r="B437" s="260" t="s">
        <v>5931</v>
      </c>
      <c r="C437" s="261" t="s">
        <v>5954</v>
      </c>
      <c r="D437" s="264" t="s">
        <v>5955</v>
      </c>
      <c r="E437" s="265" t="s">
        <v>5106</v>
      </c>
      <c r="F437" s="268" t="s">
        <v>5894</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5930</v>
      </c>
      <c r="B438" s="259" t="s">
        <v>5956</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5930</v>
      </c>
      <c r="B439" s="260" t="s">
        <v>5956</v>
      </c>
      <c r="C439" s="261" t="s">
        <v>5957</v>
      </c>
      <c r="D439" s="264" t="s">
        <v>5958</v>
      </c>
      <c r="E439" s="265" t="s">
        <v>5077</v>
      </c>
      <c r="F439" s="268" t="s">
        <v>5959</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5930</v>
      </c>
      <c r="B440" s="260" t="s">
        <v>5956</v>
      </c>
      <c r="C440" s="261" t="s">
        <v>5960</v>
      </c>
      <c r="D440" s="264" t="s">
        <v>5961</v>
      </c>
      <c r="E440" s="265" t="s">
        <v>5077</v>
      </c>
      <c r="F440" s="268" t="s">
        <v>5959</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5930</v>
      </c>
      <c r="B441" s="260" t="s">
        <v>5956</v>
      </c>
      <c r="C441" s="261" t="s">
        <v>5962</v>
      </c>
      <c r="D441" s="264" t="s">
        <v>5963</v>
      </c>
      <c r="E441" s="265" t="s">
        <v>5077</v>
      </c>
      <c r="F441" s="268" t="s">
        <v>5959</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5930</v>
      </c>
      <c r="B442" s="260" t="s">
        <v>5956</v>
      </c>
      <c r="C442" s="261" t="s">
        <v>5964</v>
      </c>
      <c r="D442" s="264" t="s">
        <v>5965</v>
      </c>
      <c r="E442" s="265" t="s">
        <v>5077</v>
      </c>
      <c r="F442" s="268" t="s">
        <v>5959</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5930</v>
      </c>
      <c r="B443" s="260" t="s">
        <v>5956</v>
      </c>
      <c r="C443" s="261" t="s">
        <v>5966</v>
      </c>
      <c r="D443" s="264" t="s">
        <v>5967</v>
      </c>
      <c r="E443" s="265" t="s">
        <v>5106</v>
      </c>
      <c r="F443" s="268" t="s">
        <v>5959</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5930</v>
      </c>
      <c r="B444" s="260" t="s">
        <v>5956</v>
      </c>
      <c r="C444" s="261" t="s">
        <v>5968</v>
      </c>
      <c r="D444" s="264" t="s">
        <v>5969</v>
      </c>
      <c r="E444" s="265" t="s">
        <v>5106</v>
      </c>
      <c r="F444" s="268" t="s">
        <v>5959</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5930</v>
      </c>
      <c r="B445" s="260" t="s">
        <v>5956</v>
      </c>
      <c r="C445" s="261" t="s">
        <v>5970</v>
      </c>
      <c r="D445" s="264" t="s">
        <v>5971</v>
      </c>
      <c r="E445" s="265" t="s">
        <v>5106</v>
      </c>
      <c r="F445" s="268" t="s">
        <v>5959</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5930</v>
      </c>
      <c r="B446" s="260" t="s">
        <v>5956</v>
      </c>
      <c r="C446" s="261" t="s">
        <v>5972</v>
      </c>
      <c r="D446" s="264" t="s">
        <v>5973</v>
      </c>
      <c r="E446" s="265" t="s">
        <v>5221</v>
      </c>
      <c r="F446" s="268" t="s">
        <v>5959</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5930</v>
      </c>
      <c r="B447" s="260" t="s">
        <v>5956</v>
      </c>
      <c r="C447" s="261" t="s">
        <v>5974</v>
      </c>
      <c r="D447" s="264" t="s">
        <v>5975</v>
      </c>
      <c r="E447" s="265" t="s">
        <v>5106</v>
      </c>
      <c r="F447" s="268" t="s">
        <v>5959</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5930</v>
      </c>
      <c r="B448" s="260" t="s">
        <v>5956</v>
      </c>
      <c r="C448" s="261" t="s">
        <v>5976</v>
      </c>
      <c r="D448" s="264" t="s">
        <v>5977</v>
      </c>
      <c r="E448" s="265" t="s">
        <v>5221</v>
      </c>
      <c r="F448" s="268" t="s">
        <v>5959</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5930</v>
      </c>
      <c r="B449" s="260" t="s">
        <v>5956</v>
      </c>
      <c r="C449" s="261" t="s">
        <v>5978</v>
      </c>
      <c r="D449" s="264" t="s">
        <v>5979</v>
      </c>
      <c r="E449" s="265" t="s">
        <v>5221</v>
      </c>
      <c r="F449" s="268" t="s">
        <v>5959</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5980</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5980</v>
      </c>
      <c r="B451" s="259" t="s">
        <v>5981</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5980</v>
      </c>
      <c r="B452" s="260" t="s">
        <v>5981</v>
      </c>
      <c r="C452" s="261" t="s">
        <v>5982</v>
      </c>
      <c r="D452" s="264" t="s">
        <v>5983</v>
      </c>
      <c r="E452" s="265" t="s">
        <v>5077</v>
      </c>
      <c r="F452" s="268" t="s">
        <v>5984</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5980</v>
      </c>
      <c r="B453" s="260" t="s">
        <v>5981</v>
      </c>
      <c r="C453" s="261" t="s">
        <v>5985</v>
      </c>
      <c r="D453" s="264" t="s">
        <v>5986</v>
      </c>
      <c r="E453" s="265" t="s">
        <v>5077</v>
      </c>
      <c r="F453" s="268" t="s">
        <v>5984</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5980</v>
      </c>
      <c r="B454" s="260" t="s">
        <v>5981</v>
      </c>
      <c r="C454" s="261" t="s">
        <v>5987</v>
      </c>
      <c r="D454" s="264" t="s">
        <v>5988</v>
      </c>
      <c r="E454" s="265" t="s">
        <v>5077</v>
      </c>
      <c r="F454" s="268" t="s">
        <v>5984</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5980</v>
      </c>
      <c r="B455" s="260" t="s">
        <v>5981</v>
      </c>
      <c r="C455" s="261" t="s">
        <v>5989</v>
      </c>
      <c r="D455" s="264" t="s">
        <v>5990</v>
      </c>
      <c r="E455" s="265" t="s">
        <v>5077</v>
      </c>
      <c r="F455" s="268" t="s">
        <v>5984</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5980</v>
      </c>
      <c r="B456" s="260" t="s">
        <v>5981</v>
      </c>
      <c r="C456" s="261" t="s">
        <v>5991</v>
      </c>
      <c r="D456" s="264" t="s">
        <v>5992</v>
      </c>
      <c r="E456" s="265" t="s">
        <v>5077</v>
      </c>
      <c r="F456" s="268" t="s">
        <v>5984</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5980</v>
      </c>
      <c r="B457" s="260" t="s">
        <v>5981</v>
      </c>
      <c r="C457" s="261" t="s">
        <v>5993</v>
      </c>
      <c r="D457" s="264" t="s">
        <v>5994</v>
      </c>
      <c r="E457" s="265" t="s">
        <v>5106</v>
      </c>
      <c r="F457" s="268" t="s">
        <v>5984</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5980</v>
      </c>
      <c r="B458" s="260" t="s">
        <v>5981</v>
      </c>
      <c r="C458" s="261" t="s">
        <v>5995</v>
      </c>
      <c r="D458" s="264" t="s">
        <v>5996</v>
      </c>
      <c r="E458" s="265" t="s">
        <v>5106</v>
      </c>
      <c r="F458" s="268" t="s">
        <v>5984</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5980</v>
      </c>
      <c r="B459" s="260" t="s">
        <v>5981</v>
      </c>
      <c r="C459" s="261" t="s">
        <v>5997</v>
      </c>
      <c r="D459" s="264" t="s">
        <v>5998</v>
      </c>
      <c r="E459" s="265" t="s">
        <v>5106</v>
      </c>
      <c r="F459" s="268" t="s">
        <v>5984</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5980</v>
      </c>
      <c r="B460" s="260" t="s">
        <v>5981</v>
      </c>
      <c r="C460" s="261" t="s">
        <v>5999</v>
      </c>
      <c r="D460" s="264" t="s">
        <v>6000</v>
      </c>
      <c r="E460" s="265" t="s">
        <v>5106</v>
      </c>
      <c r="F460" s="268" t="s">
        <v>5984</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5980</v>
      </c>
      <c r="B461" s="260" t="s">
        <v>5981</v>
      </c>
      <c r="C461" s="261" t="s">
        <v>6001</v>
      </c>
      <c r="D461" s="264" t="s">
        <v>6002</v>
      </c>
      <c r="E461" s="265" t="s">
        <v>5106</v>
      </c>
      <c r="F461" s="268" t="s">
        <v>5984</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5980</v>
      </c>
      <c r="B462" s="260" t="s">
        <v>5981</v>
      </c>
      <c r="C462" s="261" t="s">
        <v>6003</v>
      </c>
      <c r="D462" s="264" t="s">
        <v>6004</v>
      </c>
      <c r="E462" s="265" t="s">
        <v>5106</v>
      </c>
      <c r="F462" s="268" t="s">
        <v>5984</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5980</v>
      </c>
      <c r="B463" s="260" t="s">
        <v>5981</v>
      </c>
      <c r="C463" s="261" t="s">
        <v>6005</v>
      </c>
      <c r="D463" s="264" t="s">
        <v>6006</v>
      </c>
      <c r="E463" s="265" t="s">
        <v>5106</v>
      </c>
      <c r="F463" s="268" t="s">
        <v>5984</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5980</v>
      </c>
      <c r="B464" s="260" t="s">
        <v>5981</v>
      </c>
      <c r="C464" s="261" t="s">
        <v>6007</v>
      </c>
      <c r="D464" s="264" t="s">
        <v>6008</v>
      </c>
      <c r="E464" s="265" t="s">
        <v>5106</v>
      </c>
      <c r="F464" s="268" t="s">
        <v>5984</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5980</v>
      </c>
      <c r="B465" s="260" t="s">
        <v>5981</v>
      </c>
      <c r="C465" s="261" t="s">
        <v>6009</v>
      </c>
      <c r="D465" s="264" t="s">
        <v>6010</v>
      </c>
      <c r="E465" s="265" t="s">
        <v>5106</v>
      </c>
      <c r="F465" s="268" t="s">
        <v>5984</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5980</v>
      </c>
      <c r="B466" s="259" t="s">
        <v>6011</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5980</v>
      </c>
      <c r="B467" s="260" t="s">
        <v>6011</v>
      </c>
      <c r="C467" s="261" t="s">
        <v>6012</v>
      </c>
      <c r="D467" s="264" t="s">
        <v>6013</v>
      </c>
      <c r="E467" s="265" t="s">
        <v>5077</v>
      </c>
      <c r="F467" s="268" t="s">
        <v>5216</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5980</v>
      </c>
      <c r="B468" s="260" t="s">
        <v>6011</v>
      </c>
      <c r="C468" s="261" t="s">
        <v>6014</v>
      </c>
      <c r="D468" s="264" t="s">
        <v>6015</v>
      </c>
      <c r="E468" s="265" t="s">
        <v>5077</v>
      </c>
      <c r="F468" s="268" t="s">
        <v>5216</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5980</v>
      </c>
      <c r="B469" s="260" t="s">
        <v>6011</v>
      </c>
      <c r="C469" s="261" t="s">
        <v>6016</v>
      </c>
      <c r="D469" s="264" t="s">
        <v>6017</v>
      </c>
      <c r="E469" s="265" t="s">
        <v>5077</v>
      </c>
      <c r="F469" s="268" t="s">
        <v>5216</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5980</v>
      </c>
      <c r="B470" s="260" t="s">
        <v>6011</v>
      </c>
      <c r="C470" s="261" t="s">
        <v>6018</v>
      </c>
      <c r="D470" s="264" t="s">
        <v>6019</v>
      </c>
      <c r="E470" s="265" t="s">
        <v>5173</v>
      </c>
      <c r="F470" s="268" t="s">
        <v>5585</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5980</v>
      </c>
      <c r="B471" s="260" t="s">
        <v>6011</v>
      </c>
      <c r="C471" s="261" t="s">
        <v>6020</v>
      </c>
      <c r="D471" s="264" t="s">
        <v>6021</v>
      </c>
      <c r="E471" s="265" t="s">
        <v>5173</v>
      </c>
      <c r="F471" s="268" t="s">
        <v>5585</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5980</v>
      </c>
      <c r="B472" s="260" t="s">
        <v>6011</v>
      </c>
      <c r="C472" s="261" t="s">
        <v>6022</v>
      </c>
      <c r="D472" s="264" t="s">
        <v>6023</v>
      </c>
      <c r="E472" s="265" t="s">
        <v>5077</v>
      </c>
      <c r="F472" s="268" t="s">
        <v>5585</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5980</v>
      </c>
      <c r="B473" s="260" t="s">
        <v>6011</v>
      </c>
      <c r="C473" s="261" t="s">
        <v>6024</v>
      </c>
      <c r="D473" s="264" t="s">
        <v>6025</v>
      </c>
      <c r="E473" s="265" t="s">
        <v>5077</v>
      </c>
      <c r="F473" s="268" t="s">
        <v>5524</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5980</v>
      </c>
      <c r="B474" s="260" t="s">
        <v>6011</v>
      </c>
      <c r="C474" s="261" t="s">
        <v>6026</v>
      </c>
      <c r="D474" s="264" t="s">
        <v>6027</v>
      </c>
      <c r="E474" s="265" t="s">
        <v>5106</v>
      </c>
      <c r="F474" s="268" t="s">
        <v>5524</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5980</v>
      </c>
      <c r="B475" s="260" t="s">
        <v>6011</v>
      </c>
      <c r="C475" s="261" t="s">
        <v>6028</v>
      </c>
      <c r="D475" s="264" t="s">
        <v>6029</v>
      </c>
      <c r="E475" s="265" t="s">
        <v>5106</v>
      </c>
      <c r="F475" s="268" t="s">
        <v>5524</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5980</v>
      </c>
      <c r="B476" s="260" t="s">
        <v>6011</v>
      </c>
      <c r="C476" s="261" t="s">
        <v>6030</v>
      </c>
      <c r="D476" s="264" t="s">
        <v>6031</v>
      </c>
      <c r="E476" s="265" t="s">
        <v>5106</v>
      </c>
      <c r="F476" s="268" t="s">
        <v>5524</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5980</v>
      </c>
      <c r="B477" s="260" t="s">
        <v>6011</v>
      </c>
      <c r="C477" s="261" t="s">
        <v>6032</v>
      </c>
      <c r="D477" s="264" t="s">
        <v>6033</v>
      </c>
      <c r="E477" s="265" t="s">
        <v>5106</v>
      </c>
      <c r="F477" s="268" t="s">
        <v>5524</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5980</v>
      </c>
      <c r="B478" s="260" t="s">
        <v>6011</v>
      </c>
      <c r="C478" s="261" t="s">
        <v>6034</v>
      </c>
      <c r="D478" s="264" t="s">
        <v>6035</v>
      </c>
      <c r="E478" s="265" t="s">
        <v>5106</v>
      </c>
      <c r="F478" s="268" t="s">
        <v>5585</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5980</v>
      </c>
      <c r="B479" s="260" t="s">
        <v>6011</v>
      </c>
      <c r="C479" s="261" t="s">
        <v>6036</v>
      </c>
      <c r="D479" s="264" t="s">
        <v>6037</v>
      </c>
      <c r="E479" s="265" t="s">
        <v>5221</v>
      </c>
      <c r="F479" s="268" t="s">
        <v>5585</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5980</v>
      </c>
      <c r="B480" s="260" t="s">
        <v>6011</v>
      </c>
      <c r="C480" s="261" t="s">
        <v>6038</v>
      </c>
      <c r="D480" s="264" t="s">
        <v>6039</v>
      </c>
      <c r="E480" s="265" t="s">
        <v>5221</v>
      </c>
      <c r="F480" s="268" t="s">
        <v>5585</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5980</v>
      </c>
      <c r="B481" s="273" t="s">
        <v>6011</v>
      </c>
      <c r="C481" s="274" t="s">
        <v>6040</v>
      </c>
      <c r="D481" s="275" t="s">
        <v>6041</v>
      </c>
      <c r="E481" s="276" t="s">
        <v>5221</v>
      </c>
      <c r="F481" s="277" t="s">
        <v>5216</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334</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IFERROR(INDEX('Recommendations'!$H$2:$H$64, MATCH(H2,'Recommendations'!$A$2:$A$64,0))="Implemented", FALSE))</xm:f>
            <x14:dxf>
              <font>
                <color rgb="FF000000"/>
              </font>
              <fill>
                <patternFill>
                  <bgColor rgb="FF3C7D22"/>
                </patternFill>
              </fill>
            </x14:dxf>
          </x14:cfRule>
          <x14:cfRule type="expression" priority="2" id="{00000000-000E-0000-0B00-000002000000}">
            <xm:f>AND(H2&lt;&gt;"", IFERROR(INDEX('Recommendations'!$H$2:$H$64, MATCH(H2,'Recommendations'!$A$2:$A$64,0))="Compensated", FALSE))</xm:f>
            <x14:dxf>
              <font>
                <color rgb="FF000000"/>
              </font>
              <fill>
                <patternFill>
                  <bgColor rgb="FFC6E0B4"/>
                </patternFill>
              </fill>
            </x14:dxf>
          </x14:cfRule>
          <x14:cfRule type="expression" priority="3" id="{00000000-000E-0000-0B00-000003000000}">
            <xm:f>AND(H2&lt;&gt;"", IFERROR(INDEX('Recommendations'!$H$2:$H$64, MATCH(H2,'Recommendations'!$A$2:$A$64,0))="Testing", FALSE))</xm:f>
            <x14:dxf>
              <font>
                <color rgb="FF000000"/>
              </font>
              <fill>
                <patternFill>
                  <bgColor rgb="FFFFC000"/>
                </patternFill>
              </fill>
            </x14:dxf>
          </x14:cfRule>
          <x14:cfRule type="expression" priority="4" id="{00000000-000E-0000-0B00-000004000000}">
            <xm:f>AND(H2&lt;&gt;"", IFERROR(INDEX('Recommendations'!$H$2:$H$64, MATCH(H2,'Recommendations'!$A$2:$A$64,0))="Failed", FALSE))</xm:f>
            <x14:dxf>
              <font>
                <color rgb="FF000000"/>
              </font>
              <fill>
                <patternFill>
                  <bgColor rgb="FFD82891"/>
                </patternFill>
              </fill>
            </x14:dxf>
          </x14:cfRule>
          <x14:cfRule type="expression" priority="5" id="{00000000-000E-0000-0B00-000005000000}">
            <xm:f>AND(H2&lt;&gt;"", IFERROR(INDEX('Recommendations'!$H$2:$H$64, MATCH(H2,'Recommendations'!$A$2:$A$64,0))="Risk Accepted", FALSE))</xm:f>
            <x14:dxf>
              <font>
                <color rgb="FF000000"/>
              </font>
              <fill>
                <patternFill>
                  <bgColor rgb="FFD9D9D9"/>
                </patternFill>
              </fill>
            </x14:dxf>
          </x14:cfRule>
          <x14:cfRule type="expression" priority="6" id="{00000000-000E-0000-0B00-000006000000}">
            <xm:f>AND(H2&lt;&gt;"", IFERROR(INDEX('Recommendations'!$H$2:$H$64, MATCH(H2,'Recommendations'!$A$2:$A$64,0))="N/A",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421</v>
      </c>
      <c r="C2" s="293"/>
      <c r="D2" s="293"/>
      <c r="E2" s="293"/>
      <c r="F2" s="293"/>
      <c r="G2" s="293"/>
      <c r="H2" s="293"/>
      <c r="I2" s="293"/>
    </row>
    <row r="4" spans="2:15" ht="18.5" x14ac:dyDescent="0.45">
      <c r="B4" s="42" t="s">
        <v>422</v>
      </c>
    </row>
    <row r="5" spans="2:15" x14ac:dyDescent="0.35">
      <c r="B5" s="44" t="s">
        <v>21</v>
      </c>
      <c r="C5" s="44" t="s">
        <v>423</v>
      </c>
      <c r="D5" s="44" t="s">
        <v>424</v>
      </c>
      <c r="F5" s="294" t="s">
        <v>425</v>
      </c>
      <c r="G5" s="294"/>
      <c r="H5" s="294"/>
      <c r="I5" s="295" t="s">
        <v>426</v>
      </c>
      <c r="J5" s="295"/>
      <c r="K5" s="295"/>
      <c r="L5" s="295"/>
      <c r="M5" s="295"/>
      <c r="N5" s="295"/>
      <c r="O5" s="295"/>
    </row>
    <row r="6" spans="2:15" x14ac:dyDescent="0.35">
      <c r="B6" s="50" t="s">
        <v>427</v>
      </c>
      <c r="C6" s="51">
        <v>63</v>
      </c>
      <c r="D6" s="52" t="s">
        <v>21</v>
      </c>
      <c r="F6" s="294" t="s">
        <v>428</v>
      </c>
      <c r="G6" s="294"/>
      <c r="H6" s="294"/>
      <c r="I6" s="296" t="s">
        <v>429</v>
      </c>
      <c r="J6" s="296"/>
      <c r="K6" s="296"/>
      <c r="L6" s="296"/>
      <c r="M6" s="296"/>
      <c r="N6" s="296"/>
      <c r="O6" s="296"/>
    </row>
    <row r="7" spans="2:15" x14ac:dyDescent="0.35">
      <c r="B7" s="53" t="s">
        <v>430</v>
      </c>
      <c r="C7" s="54">
        <f>C6-C8-C9</f>
        <v>63</v>
      </c>
      <c r="D7" s="55">
        <f>IF(C6&gt;0,C7/C6,0)</f>
        <v>1</v>
      </c>
      <c r="F7" s="294" t="s">
        <v>431</v>
      </c>
      <c r="G7" s="294"/>
      <c r="H7" s="294"/>
      <c r="I7" s="296" t="s">
        <v>429</v>
      </c>
      <c r="J7" s="296"/>
      <c r="K7" s="296"/>
      <c r="L7" s="296"/>
      <c r="M7" s="296"/>
      <c r="N7" s="296"/>
      <c r="O7" s="296"/>
    </row>
    <row r="8" spans="2:15" x14ac:dyDescent="0.35">
      <c r="B8" s="46" t="s">
        <v>432</v>
      </c>
      <c r="C8" s="47">
        <f>COUNTIF('Recommendations'!H:H,"Risk Accepted")</f>
        <v>0</v>
      </c>
      <c r="D8" s="48">
        <f>IF(C6&gt;0,C8/C6,0)</f>
        <v>0</v>
      </c>
      <c r="F8" s="294" t="s">
        <v>433</v>
      </c>
      <c r="G8" s="294"/>
      <c r="H8" s="294"/>
      <c r="I8" s="296" t="s">
        <v>429</v>
      </c>
      <c r="J8" s="296"/>
      <c r="K8" s="296"/>
      <c r="L8" s="296"/>
      <c r="M8" s="296"/>
      <c r="N8" s="296"/>
      <c r="O8" s="296"/>
    </row>
    <row r="9" spans="2:15" x14ac:dyDescent="0.35">
      <c r="B9" s="46" t="s">
        <v>434</v>
      </c>
      <c r="C9" s="47">
        <f>COUNTIF('Recommendations'!H:H,"N/A")</f>
        <v>0</v>
      </c>
      <c r="D9" s="48">
        <f>IF(C6&gt;0,C9/C6,0)</f>
        <v>0</v>
      </c>
      <c r="F9" s="294" t="s">
        <v>435</v>
      </c>
      <c r="G9" s="294"/>
      <c r="H9" s="294"/>
      <c r="I9" s="296" t="s">
        <v>429</v>
      </c>
      <c r="J9" s="296"/>
      <c r="K9" s="296"/>
      <c r="L9" s="296"/>
      <c r="M9" s="296"/>
      <c r="N9" s="296"/>
      <c r="O9" s="296"/>
    </row>
    <row r="12" spans="2:15" ht="18.5" x14ac:dyDescent="0.45">
      <c r="B12" s="42" t="s">
        <v>436</v>
      </c>
    </row>
    <row r="14" spans="2:15" x14ac:dyDescent="0.35">
      <c r="B14" s="56" t="s">
        <v>437</v>
      </c>
    </row>
    <row r="15" spans="2:15" x14ac:dyDescent="0.35">
      <c r="B15" s="44" t="s">
        <v>21</v>
      </c>
      <c r="C15" s="44" t="s">
        <v>438</v>
      </c>
      <c r="D15" s="44" t="s">
        <v>439</v>
      </c>
      <c r="E15" s="44" t="s">
        <v>440</v>
      </c>
      <c r="F15" s="44" t="s">
        <v>441</v>
      </c>
    </row>
    <row r="16" spans="2:15" x14ac:dyDescent="0.35">
      <c r="B16" s="46" t="s">
        <v>442</v>
      </c>
      <c r="C16" s="47">
        <f>COUNTIF('Recommendations'!M:M,"Resolved")</f>
        <v>0</v>
      </c>
      <c r="D16" s="47">
        <f>COUNTIF('Recommendations'!M:M,"Testing")</f>
        <v>0</v>
      </c>
      <c r="E16" s="47">
        <f>COUNTIF('Recommendations'!M:M,"Outstanding")</f>
        <v>63</v>
      </c>
      <c r="F16" s="47">
        <f>SUM(C16:E16)</f>
        <v>63</v>
      </c>
    </row>
    <row r="18" spans="2:6" x14ac:dyDescent="0.35">
      <c r="B18" s="56" t="s">
        <v>443</v>
      </c>
    </row>
    <row r="19" spans="2:6" x14ac:dyDescent="0.35">
      <c r="B19" s="57" t="s">
        <v>21</v>
      </c>
      <c r="C19" s="57" t="s">
        <v>438</v>
      </c>
      <c r="D19" s="57" t="s">
        <v>439</v>
      </c>
      <c r="E19" s="57" t="s">
        <v>440</v>
      </c>
      <c r="F19" s="57" t="s">
        <v>21</v>
      </c>
    </row>
    <row r="20" spans="2:6" x14ac:dyDescent="0.35">
      <c r="B20" s="46" t="s">
        <v>442</v>
      </c>
      <c r="C20" s="48">
        <f>IF(F16&gt;0, C16/F16, 0)</f>
        <v>0</v>
      </c>
      <c r="D20" s="48">
        <f>IF(F16&gt;0, D16/F16, 0)</f>
        <v>0</v>
      </c>
      <c r="E20" s="48">
        <f>IF(F16&gt;0, E16/F16, 0)</f>
        <v>1</v>
      </c>
      <c r="F20" s="49" t="s">
        <v>21</v>
      </c>
    </row>
    <row r="25" spans="2:6" ht="18.5" x14ac:dyDescent="0.45">
      <c r="B25" s="42" t="s">
        <v>444</v>
      </c>
    </row>
    <row r="27" spans="2:6" x14ac:dyDescent="0.35">
      <c r="B27" s="56" t="s">
        <v>437</v>
      </c>
    </row>
    <row r="28" spans="2:6" x14ac:dyDescent="0.35">
      <c r="B28" s="44" t="s">
        <v>3</v>
      </c>
      <c r="C28" s="44" t="s">
        <v>438</v>
      </c>
      <c r="D28" s="44" t="s">
        <v>439</v>
      </c>
      <c r="E28" s="44" t="s">
        <v>440</v>
      </c>
      <c r="F28" s="44" t="s">
        <v>441</v>
      </c>
    </row>
    <row r="29" spans="2:6" x14ac:dyDescent="0.35">
      <c r="B29" s="46" t="s">
        <v>305</v>
      </c>
      <c r="C29" s="47">
        <f>COUNTIFS('Recommendations'!D:D,"Distributed Firewall",'Recommendations'!M:M,"=Resolved")</f>
        <v>0</v>
      </c>
      <c r="D29" s="47">
        <f>COUNTIFS('Recommendations'!D:D,"=Distributed Firewall",'Recommendations'!M:M,"=Testing")</f>
        <v>0</v>
      </c>
      <c r="E29" s="47">
        <f>COUNTIFS('Recommendations'!D:D,"=Distributed Firewall",'Recommendations'!M:M,"=Outstanding")</f>
        <v>6</v>
      </c>
      <c r="F29" s="47">
        <f t="shared" ref="F29:F34" si="0">SUM(C29:E29)</f>
        <v>6</v>
      </c>
    </row>
    <row r="30" spans="2:6" x14ac:dyDescent="0.35">
      <c r="B30" s="46" t="s">
        <v>17</v>
      </c>
      <c r="C30" s="47">
        <f>COUNTIFS('Recommendations'!D:D,"Manager NDM",'Recommendations'!M:M,"=Resolved")</f>
        <v>0</v>
      </c>
      <c r="D30" s="47">
        <f>COUNTIFS('Recommendations'!D:D,"=Manager NDM",'Recommendations'!M:M,"=Testing")</f>
        <v>0</v>
      </c>
      <c r="E30" s="47">
        <f>COUNTIFS('Recommendations'!D:D,"=Manager NDM",'Recommendations'!M:M,"=Outstanding")</f>
        <v>28</v>
      </c>
      <c r="F30" s="47">
        <f t="shared" si="0"/>
        <v>28</v>
      </c>
    </row>
    <row r="31" spans="2:6" x14ac:dyDescent="0.35">
      <c r="B31" s="46" t="s">
        <v>162</v>
      </c>
      <c r="C31" s="47">
        <f>COUNTIFS('Recommendations'!D:D,"Tier-0 Gateway Firewall",'Recommendations'!M:M,"=Resolved")</f>
        <v>0</v>
      </c>
      <c r="D31" s="47">
        <f>COUNTIFS('Recommendations'!D:D,"=Tier-0 Gateway Firewall",'Recommendations'!M:M,"=Testing")</f>
        <v>0</v>
      </c>
      <c r="E31" s="47">
        <f>COUNTIFS('Recommendations'!D:D,"=Tier-0 Gateway Firewall",'Recommendations'!M:M,"=Outstanding")</f>
        <v>4</v>
      </c>
      <c r="F31" s="47">
        <f t="shared" si="0"/>
        <v>4</v>
      </c>
    </row>
    <row r="32" spans="2:6" x14ac:dyDescent="0.35">
      <c r="B32" s="46" t="s">
        <v>183</v>
      </c>
      <c r="C32" s="47">
        <f>COUNTIFS('Recommendations'!D:D,"Tier-0 Gateway Router",'Recommendations'!M:M,"=Resolved")</f>
        <v>0</v>
      </c>
      <c r="D32" s="47">
        <f>COUNTIFS('Recommendations'!D:D,"=Tier-0 Gateway Router",'Recommendations'!M:M,"=Testing")</f>
        <v>0</v>
      </c>
      <c r="E32" s="47">
        <f>COUNTIFS('Recommendations'!D:D,"=Tier-0 Gateway Router",'Recommendations'!M:M,"=Outstanding")</f>
        <v>16</v>
      </c>
      <c r="F32" s="47">
        <f t="shared" si="0"/>
        <v>16</v>
      </c>
    </row>
    <row r="33" spans="2:6" x14ac:dyDescent="0.35">
      <c r="B33" s="46" t="s">
        <v>262</v>
      </c>
      <c r="C33" s="47">
        <f>COUNTIFS('Recommendations'!D:D,"Tier-1 Gateway Firewall",'Recommendations'!M:M,"=Resolved")</f>
        <v>0</v>
      </c>
      <c r="D33" s="47">
        <f>COUNTIFS('Recommendations'!D:D,"=Tier-1 Gateway Firewall",'Recommendations'!M:M,"=Testing")</f>
        <v>0</v>
      </c>
      <c r="E33" s="47">
        <f>COUNTIFS('Recommendations'!D:D,"=Tier-1 Gateway Firewall",'Recommendations'!M:M,"=Outstanding")</f>
        <v>5</v>
      </c>
      <c r="F33" s="47">
        <f t="shared" si="0"/>
        <v>5</v>
      </c>
    </row>
    <row r="34" spans="2:6" x14ac:dyDescent="0.35">
      <c r="B34" s="46" t="s">
        <v>287</v>
      </c>
      <c r="C34" s="47">
        <f>COUNTIFS('Recommendations'!D:D,"Tier-1 Gateway Router",'Recommendations'!M:M,"=Resolved")</f>
        <v>0</v>
      </c>
      <c r="D34" s="47">
        <f>COUNTIFS('Recommendations'!D:D,"=Tier-1 Gateway Router",'Recommendations'!M:M,"=Testing")</f>
        <v>0</v>
      </c>
      <c r="E34" s="47">
        <f>COUNTIFS('Recommendations'!D:D,"=Tier-1 Gateway Router",'Recommendations'!M:M,"=Outstanding")</f>
        <v>4</v>
      </c>
      <c r="F34" s="47">
        <f t="shared" si="0"/>
        <v>4</v>
      </c>
    </row>
    <row r="36" spans="2:6" x14ac:dyDescent="0.35">
      <c r="B36" s="56" t="s">
        <v>443</v>
      </c>
    </row>
    <row r="37" spans="2:6" x14ac:dyDescent="0.35">
      <c r="B37" s="57" t="s">
        <v>3</v>
      </c>
      <c r="C37" s="57" t="s">
        <v>438</v>
      </c>
      <c r="D37" s="57" t="s">
        <v>439</v>
      </c>
      <c r="E37" s="57" t="s">
        <v>440</v>
      </c>
      <c r="F37" s="57" t="s">
        <v>21</v>
      </c>
    </row>
    <row r="38" spans="2:6" x14ac:dyDescent="0.35">
      <c r="B38" s="46" t="s">
        <v>305</v>
      </c>
      <c r="C38" s="48">
        <f t="shared" ref="C38:C43" si="1">IF(F29&gt;0, C29/F29, 0)</f>
        <v>0</v>
      </c>
      <c r="D38" s="48">
        <f t="shared" ref="D38:D43" si="2">IF(F29&gt;0, D29/F29, 0)</f>
        <v>0</v>
      </c>
      <c r="E38" s="48">
        <f t="shared" ref="E38:E43" si="3">IF(F29&gt;0, E29/F29, 0)</f>
        <v>1</v>
      </c>
      <c r="F38" s="49" t="s">
        <v>21</v>
      </c>
    </row>
    <row r="39" spans="2:6" x14ac:dyDescent="0.35">
      <c r="B39" s="46" t="s">
        <v>17</v>
      </c>
      <c r="C39" s="48">
        <f t="shared" si="1"/>
        <v>0</v>
      </c>
      <c r="D39" s="48">
        <f t="shared" si="2"/>
        <v>0</v>
      </c>
      <c r="E39" s="48">
        <f t="shared" si="3"/>
        <v>1</v>
      </c>
      <c r="F39" s="49" t="s">
        <v>21</v>
      </c>
    </row>
    <row r="40" spans="2:6" x14ac:dyDescent="0.35">
      <c r="B40" s="46" t="s">
        <v>162</v>
      </c>
      <c r="C40" s="48">
        <f t="shared" si="1"/>
        <v>0</v>
      </c>
      <c r="D40" s="48">
        <f t="shared" si="2"/>
        <v>0</v>
      </c>
      <c r="E40" s="48">
        <f t="shared" si="3"/>
        <v>1</v>
      </c>
      <c r="F40" s="49" t="s">
        <v>21</v>
      </c>
    </row>
    <row r="41" spans="2:6" x14ac:dyDescent="0.35">
      <c r="B41" s="46" t="s">
        <v>183</v>
      </c>
      <c r="C41" s="48">
        <f t="shared" si="1"/>
        <v>0</v>
      </c>
      <c r="D41" s="48">
        <f t="shared" si="2"/>
        <v>0</v>
      </c>
      <c r="E41" s="48">
        <f t="shared" si="3"/>
        <v>1</v>
      </c>
      <c r="F41" s="49" t="s">
        <v>21</v>
      </c>
    </row>
    <row r="42" spans="2:6" x14ac:dyDescent="0.35">
      <c r="B42" s="46" t="s">
        <v>262</v>
      </c>
      <c r="C42" s="48">
        <f t="shared" si="1"/>
        <v>0</v>
      </c>
      <c r="D42" s="48">
        <f t="shared" si="2"/>
        <v>0</v>
      </c>
      <c r="E42" s="48">
        <f t="shared" si="3"/>
        <v>1</v>
      </c>
      <c r="F42" s="49" t="s">
        <v>21</v>
      </c>
    </row>
    <row r="43" spans="2:6" x14ac:dyDescent="0.35">
      <c r="B43" s="46" t="s">
        <v>287</v>
      </c>
      <c r="C43" s="48">
        <f t="shared" si="1"/>
        <v>0</v>
      </c>
      <c r="D43" s="48">
        <f t="shared" si="2"/>
        <v>0</v>
      </c>
      <c r="E43" s="48">
        <f t="shared" si="3"/>
        <v>1</v>
      </c>
      <c r="F43" s="49" t="s">
        <v>21</v>
      </c>
    </row>
    <row r="48" spans="2:6" ht="18.5" x14ac:dyDescent="0.45">
      <c r="B48" s="42" t="s">
        <v>445</v>
      </c>
    </row>
    <row r="50" spans="2:6" x14ac:dyDescent="0.35">
      <c r="B50" s="56" t="s">
        <v>437</v>
      </c>
    </row>
    <row r="51" spans="2:6" x14ac:dyDescent="0.35">
      <c r="B51" s="44" t="s">
        <v>6</v>
      </c>
      <c r="C51" s="44" t="s">
        <v>438</v>
      </c>
      <c r="D51" s="44" t="s">
        <v>439</v>
      </c>
      <c r="E51" s="44" t="s">
        <v>440</v>
      </c>
      <c r="F51" s="44" t="s">
        <v>441</v>
      </c>
    </row>
    <row r="52" spans="2:6" x14ac:dyDescent="0.35">
      <c r="B52" s="46" t="s">
        <v>446</v>
      </c>
      <c r="C52" s="47">
        <f>COUNTIFS('Recommendations'!G:G,"Phase1",'Recommendations'!M:M,"=Resolved")</f>
        <v>0</v>
      </c>
      <c r="D52" s="47">
        <f>COUNTIFS('Recommendations'!G:G,"=Phase1",'Recommendations'!M:M,"=Testing")</f>
        <v>0</v>
      </c>
      <c r="E52" s="47">
        <f>COUNTIFS('Recommendations'!G:G,"=Phase1",'Recommendations'!M:M,"=Outstanding")</f>
        <v>0</v>
      </c>
      <c r="F52" s="47">
        <f t="shared" ref="F52:F57" si="4">SUM(C52:E52)</f>
        <v>0</v>
      </c>
    </row>
    <row r="53" spans="2:6" x14ac:dyDescent="0.35">
      <c r="B53" s="46" t="s">
        <v>447</v>
      </c>
      <c r="C53" s="47">
        <f>COUNTIFS('Recommendations'!G:G,"Phase2",'Recommendations'!M:M,"=Resolved")</f>
        <v>0</v>
      </c>
      <c r="D53" s="47">
        <f>COUNTIFS('Recommendations'!G:G,"=Phase2",'Recommendations'!M:M,"=Testing")</f>
        <v>0</v>
      </c>
      <c r="E53" s="47">
        <f>COUNTIFS('Recommendations'!G:G,"=Phase2",'Recommendations'!M:M,"=Outstanding")</f>
        <v>0</v>
      </c>
      <c r="F53" s="47">
        <f t="shared" si="4"/>
        <v>0</v>
      </c>
    </row>
    <row r="54" spans="2:6" x14ac:dyDescent="0.35">
      <c r="B54" s="46" t="s">
        <v>448</v>
      </c>
      <c r="C54" s="47">
        <f>COUNTIFS('Recommendations'!G:G,"Phase3",'Recommendations'!M:M,"=Resolved")</f>
        <v>0</v>
      </c>
      <c r="D54" s="47">
        <f>COUNTIFS('Recommendations'!G:G,"=Phase3",'Recommendations'!M:M,"=Testing")</f>
        <v>0</v>
      </c>
      <c r="E54" s="47">
        <f>COUNTIFS('Recommendations'!G:G,"=Phase3",'Recommendations'!M:M,"=Outstanding")</f>
        <v>0</v>
      </c>
      <c r="F54" s="47">
        <f t="shared" si="4"/>
        <v>0</v>
      </c>
    </row>
    <row r="55" spans="2:6" x14ac:dyDescent="0.35">
      <c r="B55" s="46" t="s">
        <v>449</v>
      </c>
      <c r="C55" s="47">
        <f>COUNTIFS('Recommendations'!G:G,"Phase4",'Recommendations'!M:M,"=Resolved")</f>
        <v>0</v>
      </c>
      <c r="D55" s="47">
        <f>COUNTIFS('Recommendations'!G:G,"=Phase4",'Recommendations'!M:M,"=Testing")</f>
        <v>0</v>
      </c>
      <c r="E55" s="47">
        <f>COUNTIFS('Recommendations'!G:G,"=Phase4",'Recommendations'!M:M,"=Outstanding")</f>
        <v>0</v>
      </c>
      <c r="F55" s="47">
        <f t="shared" si="4"/>
        <v>0</v>
      </c>
    </row>
    <row r="56" spans="2:6" x14ac:dyDescent="0.35">
      <c r="B56" s="46" t="s">
        <v>450</v>
      </c>
      <c r="C56" s="47">
        <f>COUNTIFS('Recommendations'!G:G,"Phase5",'Recommendations'!M:M,"=Resolved")</f>
        <v>0</v>
      </c>
      <c r="D56" s="47">
        <f>COUNTIFS('Recommendations'!G:G,"=Phase5",'Recommendations'!M:M,"=Testing")</f>
        <v>0</v>
      </c>
      <c r="E56" s="47">
        <f>COUNTIFS('Recommendations'!G:G,"=Phase5",'Recommendations'!M:M,"=Outstanding")</f>
        <v>0</v>
      </c>
      <c r="F56" s="47">
        <f t="shared" si="4"/>
        <v>0</v>
      </c>
    </row>
    <row r="57" spans="2:6" x14ac:dyDescent="0.35">
      <c r="B57" s="46" t="s">
        <v>20</v>
      </c>
      <c r="C57" s="47">
        <f>COUNTIFS('Recommendations'!G:G,"Pending",'Recommendations'!M:M,"=Resolved")</f>
        <v>0</v>
      </c>
      <c r="D57" s="47">
        <f>COUNTIFS('Recommendations'!G:G,"=Pending",'Recommendations'!M:M,"=Testing")</f>
        <v>0</v>
      </c>
      <c r="E57" s="47">
        <f>COUNTIFS('Recommendations'!G:G,"=Pending",'Recommendations'!M:M,"=Outstanding")</f>
        <v>63</v>
      </c>
      <c r="F57" s="47">
        <f t="shared" si="4"/>
        <v>63</v>
      </c>
    </row>
    <row r="59" spans="2:6" x14ac:dyDescent="0.35">
      <c r="B59" s="56" t="s">
        <v>443</v>
      </c>
    </row>
    <row r="60" spans="2:6" x14ac:dyDescent="0.35">
      <c r="B60" s="57" t="s">
        <v>6</v>
      </c>
      <c r="C60" s="57" t="s">
        <v>438</v>
      </c>
      <c r="D60" s="57" t="s">
        <v>439</v>
      </c>
      <c r="E60" s="57" t="s">
        <v>440</v>
      </c>
      <c r="F60" s="57" t="s">
        <v>21</v>
      </c>
    </row>
    <row r="61" spans="2:6" x14ac:dyDescent="0.35">
      <c r="B61" s="46" t="s">
        <v>446</v>
      </c>
      <c r="C61" s="48">
        <f t="shared" ref="C61:C66" si="5">IF(F52&gt;0, C52/F52, 0)</f>
        <v>0</v>
      </c>
      <c r="D61" s="48">
        <f t="shared" ref="D61:D66" si="6">IF(F52&gt;0, D52/F52, 0)</f>
        <v>0</v>
      </c>
      <c r="E61" s="48">
        <f t="shared" ref="E61:E66" si="7">IF(F52&gt;0, E52/F52, 0)</f>
        <v>0</v>
      </c>
      <c r="F61" s="49" t="s">
        <v>21</v>
      </c>
    </row>
    <row r="62" spans="2:6" x14ac:dyDescent="0.35">
      <c r="B62" s="46" t="s">
        <v>447</v>
      </c>
      <c r="C62" s="48">
        <f t="shared" si="5"/>
        <v>0</v>
      </c>
      <c r="D62" s="48">
        <f t="shared" si="6"/>
        <v>0</v>
      </c>
      <c r="E62" s="48">
        <f t="shared" si="7"/>
        <v>0</v>
      </c>
      <c r="F62" s="49" t="s">
        <v>21</v>
      </c>
    </row>
    <row r="63" spans="2:6" x14ac:dyDescent="0.35">
      <c r="B63" s="46" t="s">
        <v>448</v>
      </c>
      <c r="C63" s="48">
        <f t="shared" si="5"/>
        <v>0</v>
      </c>
      <c r="D63" s="48">
        <f t="shared" si="6"/>
        <v>0</v>
      </c>
      <c r="E63" s="48">
        <f t="shared" si="7"/>
        <v>0</v>
      </c>
      <c r="F63" s="49" t="s">
        <v>21</v>
      </c>
    </row>
    <row r="64" spans="2:6" x14ac:dyDescent="0.35">
      <c r="B64" s="46" t="s">
        <v>449</v>
      </c>
      <c r="C64" s="48">
        <f t="shared" si="5"/>
        <v>0</v>
      </c>
      <c r="D64" s="48">
        <f t="shared" si="6"/>
        <v>0</v>
      </c>
      <c r="E64" s="48">
        <f t="shared" si="7"/>
        <v>0</v>
      </c>
      <c r="F64" s="49" t="s">
        <v>21</v>
      </c>
    </row>
    <row r="65" spans="2:6" x14ac:dyDescent="0.35">
      <c r="B65" s="46" t="s">
        <v>450</v>
      </c>
      <c r="C65" s="48">
        <f t="shared" si="5"/>
        <v>0</v>
      </c>
      <c r="D65" s="48">
        <f t="shared" si="6"/>
        <v>0</v>
      </c>
      <c r="E65" s="48">
        <f t="shared" si="7"/>
        <v>0</v>
      </c>
      <c r="F65" s="49" t="s">
        <v>21</v>
      </c>
    </row>
    <row r="66" spans="2:6" x14ac:dyDescent="0.35">
      <c r="B66" s="46" t="s">
        <v>20</v>
      </c>
      <c r="C66" s="48">
        <f t="shared" si="5"/>
        <v>0</v>
      </c>
      <c r="D66" s="48">
        <f t="shared" si="6"/>
        <v>0</v>
      </c>
      <c r="E66" s="48">
        <f t="shared" si="7"/>
        <v>1</v>
      </c>
      <c r="F66" s="49" t="s">
        <v>21</v>
      </c>
    </row>
    <row r="71" spans="2:6" ht="18.5" x14ac:dyDescent="0.45">
      <c r="B71" s="42" t="s">
        <v>451</v>
      </c>
    </row>
    <row r="73" spans="2:6" x14ac:dyDescent="0.35">
      <c r="B73" s="56" t="s">
        <v>437</v>
      </c>
    </row>
    <row r="74" spans="2:6" x14ac:dyDescent="0.35">
      <c r="B74" s="44" t="s">
        <v>2</v>
      </c>
      <c r="C74" s="44" t="s">
        <v>438</v>
      </c>
      <c r="D74" s="44" t="s">
        <v>439</v>
      </c>
      <c r="E74" s="44" t="s">
        <v>440</v>
      </c>
      <c r="F74" s="44" t="s">
        <v>441</v>
      </c>
    </row>
    <row r="75" spans="2:6" x14ac:dyDescent="0.35">
      <c r="B75" s="46" t="s">
        <v>27</v>
      </c>
      <c r="C75" s="47">
        <f>COUNTIFS('Recommendations'!C:C,"CAT I (High)",'Recommendations'!M:M,"=Resolved")</f>
        <v>0</v>
      </c>
      <c r="D75" s="47">
        <f>COUNTIFS('Recommendations'!C:C,"=CAT I (High)",'Recommendations'!M:M,"=Testing")</f>
        <v>0</v>
      </c>
      <c r="E75" s="47">
        <f>COUNTIFS('Recommendations'!C:C,"=CAT I (High)",'Recommendations'!M:M,"=Outstanding")</f>
        <v>16</v>
      </c>
      <c r="F75" s="47">
        <f>SUM(C75:E75)</f>
        <v>16</v>
      </c>
    </row>
    <row r="76" spans="2:6" x14ac:dyDescent="0.35">
      <c r="B76" s="46" t="s">
        <v>16</v>
      </c>
      <c r="C76" s="47">
        <f>COUNTIFS('Recommendations'!C:C,"CAT II (Medium)",'Recommendations'!M:M,"=Resolved")</f>
        <v>0</v>
      </c>
      <c r="D76" s="47">
        <f>COUNTIFS('Recommendations'!C:C,"=CAT II (Medium)",'Recommendations'!M:M,"=Testing")</f>
        <v>0</v>
      </c>
      <c r="E76" s="47">
        <f>COUNTIFS('Recommendations'!C:C,"=CAT II (Medium)",'Recommendations'!M:M,"=Outstanding")</f>
        <v>37</v>
      </c>
      <c r="F76" s="47">
        <f>SUM(C76:E76)</f>
        <v>37</v>
      </c>
    </row>
    <row r="77" spans="2:6" x14ac:dyDescent="0.35">
      <c r="B77" s="46" t="s">
        <v>116</v>
      </c>
      <c r="C77" s="47">
        <f>COUNTIFS('Recommendations'!C:C,"CAT III (Low)",'Recommendations'!M:M,"=Resolved")</f>
        <v>0</v>
      </c>
      <c r="D77" s="47">
        <f>COUNTIFS('Recommendations'!C:C,"=CAT III (Low)",'Recommendations'!M:M,"=Testing")</f>
        <v>0</v>
      </c>
      <c r="E77" s="47">
        <f>COUNTIFS('Recommendations'!C:C,"=CAT III (Low)",'Recommendations'!M:M,"=Outstanding")</f>
        <v>10</v>
      </c>
      <c r="F77" s="47">
        <f>SUM(C77:E77)</f>
        <v>10</v>
      </c>
    </row>
    <row r="79" spans="2:6" x14ac:dyDescent="0.35">
      <c r="B79" s="56" t="s">
        <v>443</v>
      </c>
    </row>
    <row r="80" spans="2:6" x14ac:dyDescent="0.35">
      <c r="B80" s="57" t="s">
        <v>2</v>
      </c>
      <c r="C80" s="57" t="s">
        <v>438</v>
      </c>
      <c r="D80" s="57" t="s">
        <v>439</v>
      </c>
      <c r="E80" s="57" t="s">
        <v>440</v>
      </c>
      <c r="F80" s="57" t="s">
        <v>21</v>
      </c>
    </row>
    <row r="81" spans="2:6" x14ac:dyDescent="0.35">
      <c r="B81" s="46" t="s">
        <v>27</v>
      </c>
      <c r="C81" s="48">
        <f>IF(F75&gt;0, C75/F75, 0)</f>
        <v>0</v>
      </c>
      <c r="D81" s="48">
        <f>IF(F75&gt;0, D75/F75, 0)</f>
        <v>0</v>
      </c>
      <c r="E81" s="48">
        <f>IF(F75&gt;0, E75/F75, 0)</f>
        <v>1</v>
      </c>
      <c r="F81" s="49" t="s">
        <v>21</v>
      </c>
    </row>
    <row r="82" spans="2:6" x14ac:dyDescent="0.35">
      <c r="B82" s="46" t="s">
        <v>16</v>
      </c>
      <c r="C82" s="48">
        <f>IF(F76&gt;0, C76/F76, 0)</f>
        <v>0</v>
      </c>
      <c r="D82" s="48">
        <f>IF(F76&gt;0, D76/F76, 0)</f>
        <v>0</v>
      </c>
      <c r="E82" s="48">
        <f>IF(F76&gt;0, E76/F76, 0)</f>
        <v>1</v>
      </c>
      <c r="F82" s="49" t="s">
        <v>21</v>
      </c>
    </row>
    <row r="83" spans="2:6" x14ac:dyDescent="0.35">
      <c r="B83" s="46" t="s">
        <v>116</v>
      </c>
      <c r="C83" s="48">
        <f>IF(F77&gt;0, C77/F77, 0)</f>
        <v>0</v>
      </c>
      <c r="D83" s="48">
        <f>IF(F77&gt;0, D77/F77, 0)</f>
        <v>0</v>
      </c>
      <c r="E83" s="48">
        <f>IF(F77&gt;0, E77/F77, 0)</f>
        <v>1</v>
      </c>
      <c r="F83" s="49" t="s">
        <v>21</v>
      </c>
    </row>
    <row r="88" spans="2:6" ht="18.5" x14ac:dyDescent="0.45">
      <c r="B88" s="42" t="s">
        <v>452</v>
      </c>
    </row>
    <row r="90" spans="2:6" x14ac:dyDescent="0.35">
      <c r="B90" s="56" t="s">
        <v>437</v>
      </c>
    </row>
    <row r="91" spans="2:6" x14ac:dyDescent="0.35">
      <c r="B91" s="44" t="s">
        <v>4</v>
      </c>
      <c r="C91" s="44" t="s">
        <v>438</v>
      </c>
      <c r="D91" s="44" t="s">
        <v>439</v>
      </c>
      <c r="E91" s="44" t="s">
        <v>440</v>
      </c>
      <c r="F91" s="44" t="s">
        <v>441</v>
      </c>
    </row>
    <row r="92" spans="2:6" x14ac:dyDescent="0.35">
      <c r="B92" s="46" t="s">
        <v>453</v>
      </c>
      <c r="C92" s="47">
        <f>COUNTIFS('Recommendations'!E:E,"Must",'Recommendations'!M:M,"=Resolved")</f>
        <v>0</v>
      </c>
      <c r="D92" s="47">
        <f>COUNTIFS('Recommendations'!E:E,"=Must",'Recommendations'!M:M,"=Testing")</f>
        <v>0</v>
      </c>
      <c r="E92" s="47">
        <f>COUNTIFS('Recommendations'!E:E,"=Must",'Recommendations'!M:M,"=Outstanding")</f>
        <v>0</v>
      </c>
      <c r="F92" s="47">
        <f>SUM(C92:E92)</f>
        <v>0</v>
      </c>
    </row>
    <row r="93" spans="2:6" x14ac:dyDescent="0.35">
      <c r="B93" s="46" t="s">
        <v>454</v>
      </c>
      <c r="C93" s="47">
        <f>COUNTIFS('Recommendations'!E:E,"Should",'Recommendations'!M:M,"=Resolved")</f>
        <v>0</v>
      </c>
      <c r="D93" s="47">
        <f>COUNTIFS('Recommendations'!E:E,"=Should",'Recommendations'!M:M,"=Testing")</f>
        <v>0</v>
      </c>
      <c r="E93" s="47">
        <f>COUNTIFS('Recommendations'!E:E,"=Should",'Recommendations'!M:M,"=Outstanding")</f>
        <v>0</v>
      </c>
      <c r="F93" s="47">
        <f>SUM(C93:E93)</f>
        <v>0</v>
      </c>
    </row>
    <row r="94" spans="2:6" x14ac:dyDescent="0.35">
      <c r="B94" s="46" t="s">
        <v>455</v>
      </c>
      <c r="C94" s="47">
        <f>COUNTIFS('Recommendations'!E:E,"Could",'Recommendations'!M:M,"=Resolved")</f>
        <v>0</v>
      </c>
      <c r="D94" s="47">
        <f>COUNTIFS('Recommendations'!E:E,"=Could",'Recommendations'!M:M,"=Testing")</f>
        <v>0</v>
      </c>
      <c r="E94" s="47">
        <f>COUNTIFS('Recommendations'!E:E,"=Could",'Recommendations'!M:M,"=Outstanding")</f>
        <v>0</v>
      </c>
      <c r="F94" s="47">
        <f>SUM(C94:E94)</f>
        <v>0</v>
      </c>
    </row>
    <row r="95" spans="2:6" x14ac:dyDescent="0.35">
      <c r="B95" s="46" t="s">
        <v>456</v>
      </c>
      <c r="C95" s="47">
        <f>COUNTIFS('Recommendations'!E:E,"Won't",'Recommendations'!M:M,"=Resolved")</f>
        <v>0</v>
      </c>
      <c r="D95" s="47">
        <f>COUNTIFS('Recommendations'!E:E,"=Won't",'Recommendations'!M:M,"=Testing")</f>
        <v>0</v>
      </c>
      <c r="E95" s="47">
        <f>COUNTIFS('Recommendations'!E:E,"=Won't",'Recommendations'!M:M,"=Outstanding")</f>
        <v>0</v>
      </c>
      <c r="F95" s="47">
        <f>SUM(C95:E95)</f>
        <v>0</v>
      </c>
    </row>
    <row r="96" spans="2:6" x14ac:dyDescent="0.35">
      <c r="B96" s="46" t="s">
        <v>18</v>
      </c>
      <c r="C96" s="47">
        <f>COUNTIFS('Recommendations'!E:E,"Unassigned",'Recommendations'!M:M,"=Resolved")</f>
        <v>0</v>
      </c>
      <c r="D96" s="47">
        <f>COUNTIFS('Recommendations'!E:E,"=Unassigned",'Recommendations'!M:M,"=Testing")</f>
        <v>0</v>
      </c>
      <c r="E96" s="47">
        <f>COUNTIFS('Recommendations'!E:E,"=Unassigned",'Recommendations'!M:M,"=Outstanding")</f>
        <v>63</v>
      </c>
      <c r="F96" s="47">
        <f>SUM(C96:E96)</f>
        <v>63</v>
      </c>
    </row>
    <row r="98" spans="2:6" x14ac:dyDescent="0.35">
      <c r="B98" s="56" t="s">
        <v>443</v>
      </c>
    </row>
    <row r="99" spans="2:6" x14ac:dyDescent="0.35">
      <c r="B99" s="57" t="s">
        <v>4</v>
      </c>
      <c r="C99" s="57" t="s">
        <v>438</v>
      </c>
      <c r="D99" s="57" t="s">
        <v>439</v>
      </c>
      <c r="E99" s="57" t="s">
        <v>440</v>
      </c>
      <c r="F99" s="57" t="s">
        <v>21</v>
      </c>
    </row>
    <row r="100" spans="2:6" x14ac:dyDescent="0.35">
      <c r="B100" s="46" t="s">
        <v>453</v>
      </c>
      <c r="C100" s="48">
        <f>IF(F92&gt;0, C92/F92, 0)</f>
        <v>0</v>
      </c>
      <c r="D100" s="48">
        <f>IF(F92&gt;0, D92/F92, 0)</f>
        <v>0</v>
      </c>
      <c r="E100" s="48">
        <f>IF(F92&gt;0, E92/F92, 0)</f>
        <v>0</v>
      </c>
      <c r="F100" s="49" t="s">
        <v>21</v>
      </c>
    </row>
    <row r="101" spans="2:6" x14ac:dyDescent="0.35">
      <c r="B101" s="46" t="s">
        <v>454</v>
      </c>
      <c r="C101" s="48">
        <f>IF(F93&gt;0, C93/F93, 0)</f>
        <v>0</v>
      </c>
      <c r="D101" s="48">
        <f>IF(F93&gt;0, D93/F93, 0)</f>
        <v>0</v>
      </c>
      <c r="E101" s="48">
        <f>IF(F93&gt;0, E93/F93, 0)</f>
        <v>0</v>
      </c>
      <c r="F101" s="49" t="s">
        <v>21</v>
      </c>
    </row>
    <row r="102" spans="2:6" x14ac:dyDescent="0.35">
      <c r="B102" s="46" t="s">
        <v>455</v>
      </c>
      <c r="C102" s="48">
        <f>IF(F94&gt;0, C94/F94, 0)</f>
        <v>0</v>
      </c>
      <c r="D102" s="48">
        <f>IF(F94&gt;0, D94/F94, 0)</f>
        <v>0</v>
      </c>
      <c r="E102" s="48">
        <f>IF(F94&gt;0, E94/F94, 0)</f>
        <v>0</v>
      </c>
      <c r="F102" s="49" t="s">
        <v>21</v>
      </c>
    </row>
    <row r="103" spans="2:6" x14ac:dyDescent="0.35">
      <c r="B103" s="46" t="s">
        <v>456</v>
      </c>
      <c r="C103" s="48">
        <f>IF(F95&gt;0, C95/F95, 0)</f>
        <v>0</v>
      </c>
      <c r="D103" s="48">
        <f>IF(F95&gt;0, D95/F95, 0)</f>
        <v>0</v>
      </c>
      <c r="E103" s="48">
        <f>IF(F95&gt;0, E95/F95, 0)</f>
        <v>0</v>
      </c>
      <c r="F103" s="49" t="s">
        <v>21</v>
      </c>
    </row>
    <row r="104" spans="2:6" x14ac:dyDescent="0.35">
      <c r="B104" s="46" t="s">
        <v>18</v>
      </c>
      <c r="C104" s="48">
        <f>IF(F96&gt;0, C96/F96, 0)</f>
        <v>0</v>
      </c>
      <c r="D104" s="48">
        <f>IF(F96&gt;0, D96/F96, 0)</f>
        <v>0</v>
      </c>
      <c r="E104" s="48">
        <f>IF(F96&gt;0, E96/F96, 0)</f>
        <v>1</v>
      </c>
      <c r="F104" s="49" t="s">
        <v>21</v>
      </c>
    </row>
    <row r="109" spans="2:6" ht="18.5" x14ac:dyDescent="0.45">
      <c r="B109" s="42" t="s">
        <v>457</v>
      </c>
    </row>
    <row r="111" spans="2:6" x14ac:dyDescent="0.35">
      <c r="B111" s="56" t="s">
        <v>437</v>
      </c>
    </row>
    <row r="112" spans="2:6" x14ac:dyDescent="0.35">
      <c r="B112" s="44" t="s">
        <v>458</v>
      </c>
      <c r="C112" s="44" t="s">
        <v>438</v>
      </c>
      <c r="D112" s="44" t="s">
        <v>439</v>
      </c>
      <c r="E112" s="44" t="s">
        <v>440</v>
      </c>
      <c r="F112" s="44" t="s">
        <v>441</v>
      </c>
    </row>
    <row r="113" spans="2:10" x14ac:dyDescent="0.35">
      <c r="B113" s="46" t="s">
        <v>459</v>
      </c>
      <c r="C113" s="47">
        <f>COUNTIFS('Recommendations'!F:F,"Low",'Recommendations'!M:M,"=Resolved")</f>
        <v>0</v>
      </c>
      <c r="D113" s="47">
        <f>COUNTIFS('Recommendations'!F:F,"=Low",'Recommendations'!M:M,"=Testing")</f>
        <v>0</v>
      </c>
      <c r="E113" s="47">
        <f>COUNTIFS('Recommendations'!F:F,"=Low",'Recommendations'!M:M,"=Outstanding")</f>
        <v>0</v>
      </c>
      <c r="F113" s="47">
        <f>SUM(C113:E113)</f>
        <v>0</v>
      </c>
    </row>
    <row r="114" spans="2:10" x14ac:dyDescent="0.35">
      <c r="B114" s="46" t="s">
        <v>460</v>
      </c>
      <c r="C114" s="47">
        <f>COUNTIFS('Recommendations'!F:F,"Medium",'Recommendations'!M:M,"=Resolved")</f>
        <v>0</v>
      </c>
      <c r="D114" s="47">
        <f>COUNTIFS('Recommendations'!F:F,"=Medium",'Recommendations'!M:M,"=Testing")</f>
        <v>0</v>
      </c>
      <c r="E114" s="47">
        <f>COUNTIFS('Recommendations'!F:F,"=Medium",'Recommendations'!M:M,"=Outstanding")</f>
        <v>0</v>
      </c>
      <c r="F114" s="47">
        <f>SUM(C114:E114)</f>
        <v>0</v>
      </c>
    </row>
    <row r="115" spans="2:10" x14ac:dyDescent="0.35">
      <c r="B115" s="46" t="s">
        <v>461</v>
      </c>
      <c r="C115" s="47">
        <f>COUNTIFS('Recommendations'!F:F,"High",'Recommendations'!M:M,"=Resolved")</f>
        <v>0</v>
      </c>
      <c r="D115" s="47">
        <f>COUNTIFS('Recommendations'!F:F,"=High",'Recommendations'!M:M,"=Testing")</f>
        <v>0</v>
      </c>
      <c r="E115" s="47">
        <f>COUNTIFS('Recommendations'!F:F,"=High",'Recommendations'!M:M,"=Outstanding")</f>
        <v>0</v>
      </c>
      <c r="F115" s="47">
        <f>SUM(C115:E115)</f>
        <v>0</v>
      </c>
    </row>
    <row r="116" spans="2:10" x14ac:dyDescent="0.35">
      <c r="B116" s="46" t="s">
        <v>19</v>
      </c>
      <c r="C116" s="47">
        <f>COUNTIFS('Recommendations'!F:F,"Unassessed",'Recommendations'!M:M,"=Resolved")</f>
        <v>0</v>
      </c>
      <c r="D116" s="47">
        <f>COUNTIFS('Recommendations'!F:F,"=Unassessed",'Recommendations'!M:M,"=Testing")</f>
        <v>0</v>
      </c>
      <c r="E116" s="47">
        <f>COUNTIFS('Recommendations'!F:F,"=Unassessed",'Recommendations'!M:M,"=Outstanding")</f>
        <v>63</v>
      </c>
      <c r="F116" s="47">
        <f>SUM(C116:E116)</f>
        <v>63</v>
      </c>
    </row>
    <row r="118" spans="2:10" x14ac:dyDescent="0.35">
      <c r="B118" s="56" t="s">
        <v>443</v>
      </c>
    </row>
    <row r="119" spans="2:10" x14ac:dyDescent="0.35">
      <c r="B119" s="57" t="s">
        <v>458</v>
      </c>
      <c r="C119" s="57" t="s">
        <v>438</v>
      </c>
      <c r="D119" s="57" t="s">
        <v>439</v>
      </c>
      <c r="E119" s="57" t="s">
        <v>440</v>
      </c>
      <c r="F119" s="57" t="s">
        <v>21</v>
      </c>
    </row>
    <row r="120" spans="2:10" x14ac:dyDescent="0.35">
      <c r="B120" s="46" t="s">
        <v>459</v>
      </c>
      <c r="C120" s="48">
        <f>IF(F113&gt;0, C113/F113, 0)</f>
        <v>0</v>
      </c>
      <c r="D120" s="48">
        <f>IF(F113&gt;0, D113/F113, 0)</f>
        <v>0</v>
      </c>
      <c r="E120" s="48">
        <f>IF(F113&gt;0, E113/F113, 0)</f>
        <v>0</v>
      </c>
      <c r="F120" s="49" t="s">
        <v>21</v>
      </c>
    </row>
    <row r="121" spans="2:10" x14ac:dyDescent="0.35">
      <c r="B121" s="46" t="s">
        <v>460</v>
      </c>
      <c r="C121" s="48">
        <f>IF(F114&gt;0, C114/F114, 0)</f>
        <v>0</v>
      </c>
      <c r="D121" s="48">
        <f>IF(F114&gt;0, D114/F114, 0)</f>
        <v>0</v>
      </c>
      <c r="E121" s="48">
        <f>IF(F114&gt;0, E114/F114, 0)</f>
        <v>0</v>
      </c>
      <c r="F121" s="49" t="s">
        <v>21</v>
      </c>
    </row>
    <row r="122" spans="2:10" x14ac:dyDescent="0.35">
      <c r="B122" s="46" t="s">
        <v>461</v>
      </c>
      <c r="C122" s="48">
        <f>IF(F115&gt;0, C115/F115, 0)</f>
        <v>0</v>
      </c>
      <c r="D122" s="48">
        <f>IF(F115&gt;0, D115/F115, 0)</f>
        <v>0</v>
      </c>
      <c r="E122" s="48">
        <f>IF(F115&gt;0, E115/F115, 0)</f>
        <v>0</v>
      </c>
      <c r="F122" s="49" t="s">
        <v>21</v>
      </c>
    </row>
    <row r="123" spans="2:10" x14ac:dyDescent="0.35">
      <c r="B123" s="46" t="s">
        <v>19</v>
      </c>
      <c r="C123" s="48">
        <f>IF(F116&gt;0, C116/F116, 0)</f>
        <v>0</v>
      </c>
      <c r="D123" s="48">
        <f>IF(F116&gt;0, D116/F116, 0)</f>
        <v>0</v>
      </c>
      <c r="E123" s="48">
        <f>IF(F116&gt;0, E116/F116, 0)</f>
        <v>1</v>
      </c>
      <c r="F123" s="49" t="s">
        <v>21</v>
      </c>
    </row>
    <row r="128" spans="2:10" ht="18.5" x14ac:dyDescent="0.45">
      <c r="B128" s="42" t="s">
        <v>462</v>
      </c>
      <c r="J128" s="42" t="s">
        <v>463</v>
      </c>
    </row>
    <row r="129" spans="2:23" x14ac:dyDescent="0.35">
      <c r="B129" s="44" t="s">
        <v>6</v>
      </c>
      <c r="C129" s="297" t="s">
        <v>464</v>
      </c>
      <c r="D129" s="297"/>
      <c r="E129" s="44" t="s">
        <v>430</v>
      </c>
      <c r="F129" s="44" t="s">
        <v>438</v>
      </c>
      <c r="G129" s="297" t="s">
        <v>465</v>
      </c>
      <c r="H129" s="297"/>
      <c r="J129" s="44" t="s">
        <v>6</v>
      </c>
      <c r="K129" s="44" t="s">
        <v>453</v>
      </c>
      <c r="L129" s="44" t="s">
        <v>454</v>
      </c>
      <c r="M129" s="44" t="s">
        <v>455</v>
      </c>
      <c r="N129" s="44" t="s">
        <v>456</v>
      </c>
      <c r="O129" s="44" t="s">
        <v>18</v>
      </c>
    </row>
    <row r="130" spans="2:23" x14ac:dyDescent="0.35">
      <c r="B130" s="50" t="s">
        <v>446</v>
      </c>
      <c r="C130" s="298" t="s">
        <v>21</v>
      </c>
      <c r="D130" s="298"/>
      <c r="E130" s="47">
        <f>COUNTIF('Recommendations'!G:G,"Phase1")-COUNTIFS('Recommendations'!G:G,"Phase1",'Recommendations'!H:H,"Risk Accepted")-COUNTIFS('Recommendations'!G:G,"Phase1",'Recommendations'!H:H,"N/A")</f>
        <v>0</v>
      </c>
      <c r="F130" s="47">
        <f>COUNTIFS('Recommendations'!G:G,"Phase1",'Recommendations'!M:M,"Resolved")</f>
        <v>0</v>
      </c>
      <c r="G130" s="299">
        <f t="shared" ref="G130:G135" si="8">IF(E130&gt;0,F130/E130,0)</f>
        <v>0</v>
      </c>
      <c r="H130" s="299"/>
      <c r="J130" s="50" t="s">
        <v>446</v>
      </c>
      <c r="K130" s="47">
        <f>COUNTIFS('Recommendations'!G:G,"Phase1",'Recommendations'!E:E,"Must")</f>
        <v>0</v>
      </c>
      <c r="L130" s="47">
        <f>COUNTIFS('Recommendations'!G:G,"Phase1",'Recommendations'!E:E,"Should")</f>
        <v>0</v>
      </c>
      <c r="M130" s="47">
        <f>COUNTIFS('Recommendations'!G:G,"Phase1",'Recommendations'!E:E,"Could")</f>
        <v>0</v>
      </c>
      <c r="N130" s="47">
        <f>COUNTIFS('Recommendations'!G:G,"Phase1",'Recommendations'!E:E,"Won't")</f>
        <v>0</v>
      </c>
      <c r="O130" s="47">
        <f>COUNTIFS('Recommendations'!G:G,"Phase1",'Recommendations'!E:E,"Unassigned")</f>
        <v>0</v>
      </c>
    </row>
    <row r="131" spans="2:23" x14ac:dyDescent="0.35">
      <c r="B131" s="50" t="s">
        <v>447</v>
      </c>
      <c r="C131" s="298" t="s">
        <v>21</v>
      </c>
      <c r="D131" s="298"/>
      <c r="E131" s="47">
        <f>COUNTIF('Recommendations'!G:G,"Phase2")-COUNTIFS('Recommendations'!G:G,"Phase2",'Recommendations'!H:H,"Risk Accepted")-COUNTIFS('Recommendations'!G:G,"Phase2",'Recommendations'!H:H,"N/A")</f>
        <v>0</v>
      </c>
      <c r="F131" s="47">
        <f>COUNTIFS('Recommendations'!G:G,"Phase2",'Recommendations'!M:M,"Resolved")</f>
        <v>0</v>
      </c>
      <c r="G131" s="299">
        <f t="shared" si="8"/>
        <v>0</v>
      </c>
      <c r="H131" s="299"/>
      <c r="J131" s="50" t="s">
        <v>447</v>
      </c>
      <c r="K131" s="47">
        <f>COUNTIFS('Recommendations'!G:G,"Phase2",'Recommendations'!E:E,"Must")</f>
        <v>0</v>
      </c>
      <c r="L131" s="47">
        <f>COUNTIFS('Recommendations'!G:G,"Phase2",'Recommendations'!E:E,"Should")</f>
        <v>0</v>
      </c>
      <c r="M131" s="47">
        <f>COUNTIFS('Recommendations'!G:G,"Phase2",'Recommendations'!E:E,"Could")</f>
        <v>0</v>
      </c>
      <c r="N131" s="47">
        <f>COUNTIFS('Recommendations'!G:G,"Phase2",'Recommendations'!E:E,"Won't")</f>
        <v>0</v>
      </c>
      <c r="O131" s="47">
        <f>COUNTIFS('Recommendations'!G:G,"Phase2",'Recommendations'!E:E,"Unassigned")</f>
        <v>0</v>
      </c>
    </row>
    <row r="132" spans="2:23" x14ac:dyDescent="0.35">
      <c r="B132" s="50" t="s">
        <v>448</v>
      </c>
      <c r="C132" s="298" t="s">
        <v>21</v>
      </c>
      <c r="D132" s="298"/>
      <c r="E132" s="47">
        <f>COUNTIF('Recommendations'!G:G,"Phase3")-COUNTIFS('Recommendations'!G:G,"Phase3",'Recommendations'!H:H,"Risk Accepted")-COUNTIFS('Recommendations'!G:G,"Phase3",'Recommendations'!H:H,"N/A")</f>
        <v>0</v>
      </c>
      <c r="F132" s="47">
        <f>COUNTIFS('Recommendations'!G:G,"Phase3",'Recommendations'!M:M,"Resolved")</f>
        <v>0</v>
      </c>
      <c r="G132" s="299">
        <f t="shared" si="8"/>
        <v>0</v>
      </c>
      <c r="H132" s="299"/>
      <c r="J132" s="50" t="s">
        <v>448</v>
      </c>
      <c r="K132" s="47">
        <f>COUNTIFS('Recommendations'!G:G,"Phase3",'Recommendations'!E:E,"Must")</f>
        <v>0</v>
      </c>
      <c r="L132" s="47">
        <f>COUNTIFS('Recommendations'!G:G,"Phase3",'Recommendations'!E:E,"Should")</f>
        <v>0</v>
      </c>
      <c r="M132" s="47">
        <f>COUNTIFS('Recommendations'!G:G,"Phase3",'Recommendations'!E:E,"Could")</f>
        <v>0</v>
      </c>
      <c r="N132" s="47">
        <f>COUNTIFS('Recommendations'!G:G,"Phase3",'Recommendations'!E:E,"Won't")</f>
        <v>0</v>
      </c>
      <c r="O132" s="47">
        <f>COUNTIFS('Recommendations'!G:G,"Phase3",'Recommendations'!E:E,"Unassigned")</f>
        <v>0</v>
      </c>
    </row>
    <row r="133" spans="2:23" x14ac:dyDescent="0.35">
      <c r="B133" s="50" t="s">
        <v>449</v>
      </c>
      <c r="C133" s="298" t="s">
        <v>21</v>
      </c>
      <c r="D133" s="298"/>
      <c r="E133" s="47">
        <f>COUNTIF('Recommendations'!G:G,"Phase4")-COUNTIFS('Recommendations'!G:G,"Phase4",'Recommendations'!H:H,"Risk Accepted")-COUNTIFS('Recommendations'!G:G,"Phase4",'Recommendations'!H:H,"N/A")</f>
        <v>0</v>
      </c>
      <c r="F133" s="47">
        <f>COUNTIFS('Recommendations'!G:G,"Phase4",'Recommendations'!M:M,"Resolved")</f>
        <v>0</v>
      </c>
      <c r="G133" s="299">
        <f t="shared" si="8"/>
        <v>0</v>
      </c>
      <c r="H133" s="299"/>
      <c r="J133" s="50" t="s">
        <v>449</v>
      </c>
      <c r="K133" s="47">
        <f>COUNTIFS('Recommendations'!G:G,"Phase4",'Recommendations'!E:E,"Must")</f>
        <v>0</v>
      </c>
      <c r="L133" s="47">
        <f>COUNTIFS('Recommendations'!G:G,"Phase4",'Recommendations'!E:E,"Should")</f>
        <v>0</v>
      </c>
      <c r="M133" s="47">
        <f>COUNTIFS('Recommendations'!G:G,"Phase4",'Recommendations'!E:E,"Could")</f>
        <v>0</v>
      </c>
      <c r="N133" s="47">
        <f>COUNTIFS('Recommendations'!G:G,"Phase4",'Recommendations'!E:E,"Won't")</f>
        <v>0</v>
      </c>
      <c r="O133" s="47">
        <f>COUNTIFS('Recommendations'!G:G,"Phase4",'Recommendations'!E:E,"Unassigned")</f>
        <v>0</v>
      </c>
    </row>
    <row r="134" spans="2:23" x14ac:dyDescent="0.35">
      <c r="B134" s="50" t="s">
        <v>450</v>
      </c>
      <c r="C134" s="298" t="s">
        <v>21</v>
      </c>
      <c r="D134" s="298"/>
      <c r="E134" s="47">
        <f>COUNTIF('Recommendations'!G:G,"Phase5")-COUNTIFS('Recommendations'!G:G,"Phase5",'Recommendations'!H:H,"Risk Accepted")-COUNTIFS('Recommendations'!G:G,"Phase5",'Recommendations'!H:H,"N/A")</f>
        <v>0</v>
      </c>
      <c r="F134" s="47">
        <f>COUNTIFS('Recommendations'!G:G,"Phase5",'Recommendations'!M:M,"Resolved")</f>
        <v>0</v>
      </c>
      <c r="G134" s="299">
        <f t="shared" si="8"/>
        <v>0</v>
      </c>
      <c r="H134" s="299"/>
      <c r="J134" s="50" t="s">
        <v>450</v>
      </c>
      <c r="K134" s="47">
        <f>COUNTIFS('Recommendations'!G:G,"Phase5",'Recommendations'!E:E,"Must")</f>
        <v>0</v>
      </c>
      <c r="L134" s="47">
        <f>COUNTIFS('Recommendations'!G:G,"Phase5",'Recommendations'!E:E,"Should")</f>
        <v>0</v>
      </c>
      <c r="M134" s="47">
        <f>COUNTIFS('Recommendations'!G:G,"Phase5",'Recommendations'!E:E,"Could")</f>
        <v>0</v>
      </c>
      <c r="N134" s="47">
        <f>COUNTIFS('Recommendations'!G:G,"Phase5",'Recommendations'!E:E,"Won't")</f>
        <v>0</v>
      </c>
      <c r="O134" s="47">
        <f>COUNTIFS('Recommendations'!G:G,"Phase5",'Recommendations'!E:E,"Unassigned")</f>
        <v>0</v>
      </c>
    </row>
    <row r="135" spans="2:23" x14ac:dyDescent="0.35">
      <c r="B135" s="50" t="s">
        <v>20</v>
      </c>
      <c r="C135" s="298" t="s">
        <v>21</v>
      </c>
      <c r="D135" s="298"/>
      <c r="E135" s="47">
        <f>COUNTIF('Recommendations'!G:G,"Pending")-COUNTIFS('Recommendations'!G:G,"Pending",'Recommendations'!H:H,"Risk Accepted")-COUNTIFS('Recommendations'!G:G,"Pending",'Recommendations'!H:H,"N/A")</f>
        <v>63</v>
      </c>
      <c r="F135" s="47">
        <f>COUNTIFS('Recommendations'!G:G,"Pending",'Recommendations'!M:M,"Resolved")</f>
        <v>0</v>
      </c>
      <c r="G135" s="299">
        <f t="shared" si="8"/>
        <v>0</v>
      </c>
      <c r="H135" s="299"/>
      <c r="J135" s="50" t="s">
        <v>20</v>
      </c>
      <c r="K135" s="47">
        <f>COUNTIFS('Recommendations'!G:G,"Pending",'Recommendations'!E:E,"Must")</f>
        <v>0</v>
      </c>
      <c r="L135" s="47">
        <f>COUNTIFS('Recommendations'!G:G,"Pending",'Recommendations'!E:E,"Should")</f>
        <v>0</v>
      </c>
      <c r="M135" s="47">
        <f>COUNTIFS('Recommendations'!G:G,"Pending",'Recommendations'!E:E,"Could")</f>
        <v>0</v>
      </c>
      <c r="N135" s="47">
        <f>COUNTIFS('Recommendations'!G:G,"Pending",'Recommendations'!E:E,"Won't")</f>
        <v>0</v>
      </c>
      <c r="O135" s="47">
        <f>COUNTIFS('Recommendations'!G:G,"Pending",'Recommendations'!E:E,"Unassigned")</f>
        <v>63</v>
      </c>
    </row>
    <row r="142" spans="2:23" ht="21" x14ac:dyDescent="0.5">
      <c r="B142" s="42" t="s">
        <v>466</v>
      </c>
      <c r="P142" s="59" t="s">
        <v>467</v>
      </c>
    </row>
    <row r="144" spans="2:23" ht="60" customHeight="1" x14ac:dyDescent="0.35">
      <c r="B144" s="300" t="s">
        <v>468</v>
      </c>
      <c r="C144" s="293"/>
      <c r="D144" s="293"/>
      <c r="E144" s="293"/>
      <c r="F144" s="293"/>
      <c r="P144" s="300" t="s">
        <v>469</v>
      </c>
      <c r="Q144" s="293"/>
      <c r="R144" s="293"/>
      <c r="S144" s="293"/>
      <c r="T144" s="293"/>
      <c r="U144" s="293"/>
      <c r="V144" s="293"/>
      <c r="W144" s="293"/>
    </row>
    <row r="146" spans="15:24" ht="30" customHeight="1" x14ac:dyDescent="0.35">
      <c r="P146" s="60" t="s">
        <v>470</v>
      </c>
      <c r="Q146" s="61">
        <f>C16</f>
        <v>0</v>
      </c>
      <c r="R146" s="62"/>
      <c r="S146" s="61">
        <f>C92</f>
        <v>0</v>
      </c>
      <c r="T146" s="62"/>
      <c r="U146" s="61">
        <f>C93</f>
        <v>0</v>
      </c>
      <c r="V146" s="62"/>
      <c r="W146" s="61">
        <f>C94</f>
        <v>0</v>
      </c>
      <c r="X146" s="62"/>
    </row>
    <row r="147" spans="15:24" ht="35" customHeight="1" x14ac:dyDescent="0.35">
      <c r="P147" s="63" t="s">
        <v>471</v>
      </c>
      <c r="Q147" s="63" t="s">
        <v>472</v>
      </c>
      <c r="R147" s="63" t="s">
        <v>473</v>
      </c>
      <c r="S147" s="63" t="s">
        <v>474</v>
      </c>
      <c r="T147" s="63" t="s">
        <v>475</v>
      </c>
      <c r="U147" s="63" t="s">
        <v>476</v>
      </c>
      <c r="V147" s="63" t="s">
        <v>477</v>
      </c>
      <c r="W147" s="63" t="s">
        <v>478</v>
      </c>
      <c r="X147" s="63" t="s">
        <v>479</v>
      </c>
    </row>
    <row r="148" spans="15:24" x14ac:dyDescent="0.35">
      <c r="O148" s="64" t="s">
        <v>480</v>
      </c>
      <c r="P148" s="65" t="s">
        <v>481</v>
      </c>
      <c r="Q148" s="66">
        <v>0</v>
      </c>
      <c r="R148" s="67">
        <f>IF(Dashboard!F16&gt;0, Q148/Dashboard!F16, "")</f>
        <v>0</v>
      </c>
      <c r="S148" s="66">
        <v>0</v>
      </c>
      <c r="T148" s="67" t="str">
        <f>IF(AND(NOT(ISBLANK(S148)),Dashboard!F92&gt;0), S148/Dashboard!F92, "")</f>
        <v/>
      </c>
      <c r="U148" s="66">
        <v>0</v>
      </c>
      <c r="V148" s="67" t="str">
        <f>IF(AND(NOT(ISBLANK(U148)),Dashboard!F93&gt;0), U148/Dashboard!F93, "")</f>
        <v/>
      </c>
      <c r="W148" s="66">
        <v>0</v>
      </c>
      <c r="X148" s="67" t="str">
        <f>IF(AND(NOT(ISBLANK(W148)),Dashboard!F94&gt;0), W148/Dashboard!F94, "")</f>
        <v/>
      </c>
    </row>
    <row r="149" spans="15:24" x14ac:dyDescent="0.35">
      <c r="P149" s="58"/>
      <c r="Q149" s="45"/>
      <c r="R149" s="48" t="str">
        <f>IF(AND(NOT(ISBLANK(Q149)),Dashboard!F16&gt;0), Q149/Dashboard!F16, "")</f>
        <v/>
      </c>
      <c r="S149" s="45"/>
      <c r="T149" s="48" t="str">
        <f>IF(AND(NOT(ISBLANK(S149)),Dashboard!F92&gt;0), S149/Dashboard!F92, "")</f>
        <v/>
      </c>
      <c r="U149" s="45"/>
      <c r="V149" s="48" t="str">
        <f>IF(AND(NOT(ISBLANK(U149)),Dashboard!F93&gt;0), U149/Dashboard!F93, "")</f>
        <v/>
      </c>
      <c r="W149" s="45"/>
      <c r="X149" s="48" t="str">
        <f>IF(AND(NOT(ISBLANK(W149)),Dashboard!F94&gt;0), W149/Dashboard!F94, "")</f>
        <v/>
      </c>
    </row>
    <row r="150" spans="15:24" x14ac:dyDescent="0.35">
      <c r="P150" s="58"/>
      <c r="Q150" s="45"/>
      <c r="R150" s="48" t="str">
        <f>IF(AND(NOT(ISBLANK(Q150)),Dashboard!F16&gt;0), Q150/Dashboard!F16, "")</f>
        <v/>
      </c>
      <c r="S150" s="45"/>
      <c r="T150" s="48" t="str">
        <f>IF(AND(NOT(ISBLANK(S150)),Dashboard!F92&gt;0), S150/Dashboard!F92, "")</f>
        <v/>
      </c>
      <c r="U150" s="45"/>
      <c r="V150" s="48" t="str">
        <f>IF(AND(NOT(ISBLANK(U150)),Dashboard!F93&gt;0), U150/Dashboard!F93, "")</f>
        <v/>
      </c>
      <c r="W150" s="45"/>
      <c r="X150" s="48" t="str">
        <f>IF(AND(NOT(ISBLANK(W150)),Dashboard!F94&gt;0), W150/Dashboard!F94, "")</f>
        <v/>
      </c>
    </row>
    <row r="151" spans="15:24" x14ac:dyDescent="0.35">
      <c r="P151" s="58"/>
      <c r="Q151" s="45"/>
      <c r="R151" s="48" t="str">
        <f>IF(AND(NOT(ISBLANK(Q151)),Dashboard!F16&gt;0), Q151/Dashboard!F16, "")</f>
        <v/>
      </c>
      <c r="S151" s="45"/>
      <c r="T151" s="48" t="str">
        <f>IF(AND(NOT(ISBLANK(S151)),Dashboard!F92&gt;0), S151/Dashboard!F92, "")</f>
        <v/>
      </c>
      <c r="U151" s="45"/>
      <c r="V151" s="48" t="str">
        <f>IF(AND(NOT(ISBLANK(U151)),Dashboard!F93&gt;0), U151/Dashboard!F93, "")</f>
        <v/>
      </c>
      <c r="W151" s="45"/>
      <c r="X151" s="48" t="str">
        <f>IF(AND(NOT(ISBLANK(W151)),Dashboard!F94&gt;0), W151/Dashboard!F94, "")</f>
        <v/>
      </c>
    </row>
    <row r="152" spans="15:24" x14ac:dyDescent="0.35">
      <c r="P152" s="58"/>
      <c r="Q152" s="45"/>
      <c r="R152" s="48" t="str">
        <f>IF(AND(NOT(ISBLANK(Q152)),Dashboard!F16&gt;0), Q152/Dashboard!F16, "")</f>
        <v/>
      </c>
      <c r="S152" s="45"/>
      <c r="T152" s="48" t="str">
        <f>IF(AND(NOT(ISBLANK(S152)),Dashboard!F92&gt;0), S152/Dashboard!F92, "")</f>
        <v/>
      </c>
      <c r="U152" s="45"/>
      <c r="V152" s="48" t="str">
        <f>IF(AND(NOT(ISBLANK(U152)),Dashboard!F93&gt;0), U152/Dashboard!F93, "")</f>
        <v/>
      </c>
      <c r="W152" s="45"/>
      <c r="X152" s="48" t="str">
        <f>IF(AND(NOT(ISBLANK(W152)),Dashboard!F94&gt;0), W152/Dashboard!F94, "")</f>
        <v/>
      </c>
    </row>
    <row r="153" spans="15:24" x14ac:dyDescent="0.35">
      <c r="P153" s="58"/>
      <c r="Q153" s="45"/>
      <c r="R153" s="48" t="str">
        <f>IF(AND(NOT(ISBLANK(Q153)),Dashboard!F16&gt;0), Q153/Dashboard!F16, "")</f>
        <v/>
      </c>
      <c r="S153" s="45"/>
      <c r="T153" s="48" t="str">
        <f>IF(AND(NOT(ISBLANK(S153)),Dashboard!F92&gt;0), S153/Dashboard!F92, "")</f>
        <v/>
      </c>
      <c r="U153" s="45"/>
      <c r="V153" s="48" t="str">
        <f>IF(AND(NOT(ISBLANK(U153)),Dashboard!F93&gt;0), U153/Dashboard!F93, "")</f>
        <v/>
      </c>
      <c r="W153" s="45"/>
      <c r="X153" s="48" t="str">
        <f>IF(AND(NOT(ISBLANK(W153)),Dashboard!F94&gt;0), W153/Dashboard!F94, "")</f>
        <v/>
      </c>
    </row>
    <row r="154" spans="15:24" x14ac:dyDescent="0.35">
      <c r="P154" s="58"/>
      <c r="Q154" s="45"/>
      <c r="R154" s="48" t="str">
        <f>IF(AND(NOT(ISBLANK(Q154)),Dashboard!F16&gt;0), Q154/Dashboard!F16, "")</f>
        <v/>
      </c>
      <c r="S154" s="45"/>
      <c r="T154" s="48" t="str">
        <f>IF(AND(NOT(ISBLANK(S154)),Dashboard!F92&gt;0), S154/Dashboard!F92, "")</f>
        <v/>
      </c>
      <c r="U154" s="45"/>
      <c r="V154" s="48" t="str">
        <f>IF(AND(NOT(ISBLANK(U154)),Dashboard!F93&gt;0), U154/Dashboard!F93, "")</f>
        <v/>
      </c>
      <c r="W154" s="45"/>
      <c r="X154" s="48" t="str">
        <f>IF(AND(NOT(ISBLANK(W154)),Dashboard!F94&gt;0), W154/Dashboard!F94, "")</f>
        <v/>
      </c>
    </row>
    <row r="155" spans="15:24" x14ac:dyDescent="0.35">
      <c r="P155" s="58"/>
      <c r="Q155" s="45"/>
      <c r="R155" s="48" t="str">
        <f>IF(AND(NOT(ISBLANK(Q155)),Dashboard!F16&gt;0), Q155/Dashboard!F16, "")</f>
        <v/>
      </c>
      <c r="S155" s="45"/>
      <c r="T155" s="48" t="str">
        <f>IF(AND(NOT(ISBLANK(S155)),Dashboard!F92&gt;0), S155/Dashboard!F92, "")</f>
        <v/>
      </c>
      <c r="U155" s="45"/>
      <c r="V155" s="48" t="str">
        <f>IF(AND(NOT(ISBLANK(U155)),Dashboard!F93&gt;0), U155/Dashboard!F93, "")</f>
        <v/>
      </c>
      <c r="W155" s="45"/>
      <c r="X155" s="48" t="str">
        <f>IF(AND(NOT(ISBLANK(W155)),Dashboard!F94&gt;0), W155/Dashboard!F94, "")</f>
        <v/>
      </c>
    </row>
    <row r="156" spans="15:24" x14ac:dyDescent="0.35">
      <c r="P156" s="58"/>
      <c r="Q156" s="45"/>
      <c r="R156" s="48" t="str">
        <f>IF(AND(NOT(ISBLANK(Q156)),Dashboard!F16&gt;0), Q156/Dashboard!F16, "")</f>
        <v/>
      </c>
      <c r="S156" s="45"/>
      <c r="T156" s="48" t="str">
        <f>IF(AND(NOT(ISBLANK(S156)),Dashboard!F92&gt;0), S156/Dashboard!F92, "")</f>
        <v/>
      </c>
      <c r="U156" s="45"/>
      <c r="V156" s="48" t="str">
        <f>IF(AND(NOT(ISBLANK(U156)),Dashboard!F93&gt;0), U156/Dashboard!F93, "")</f>
        <v/>
      </c>
      <c r="W156" s="45"/>
      <c r="X156" s="48" t="str">
        <f>IF(AND(NOT(ISBLANK(W156)),Dashboard!F94&gt;0), W156/Dashboard!F94, "")</f>
        <v/>
      </c>
    </row>
    <row r="157" spans="15:24" x14ac:dyDescent="0.35">
      <c r="P157" s="58"/>
      <c r="Q157" s="45"/>
      <c r="R157" s="48" t="str">
        <f>IF(AND(NOT(ISBLANK(Q157)),Dashboard!F16&gt;0), Q157/Dashboard!F16, "")</f>
        <v/>
      </c>
      <c r="S157" s="45"/>
      <c r="T157" s="48" t="str">
        <f>IF(AND(NOT(ISBLANK(S157)),Dashboard!F92&gt;0), S157/Dashboard!F92, "")</f>
        <v/>
      </c>
      <c r="U157" s="45"/>
      <c r="V157" s="48" t="str">
        <f>IF(AND(NOT(ISBLANK(U157)),Dashboard!F93&gt;0), U157/Dashboard!F93, "")</f>
        <v/>
      </c>
      <c r="W157" s="45"/>
      <c r="X157" s="48" t="str">
        <f>IF(AND(NOT(ISBLANK(W157)),Dashboard!F94&gt;0), W157/Dashboard!F94, "")</f>
        <v/>
      </c>
    </row>
    <row r="158" spans="15:24" x14ac:dyDescent="0.35">
      <c r="P158" s="58"/>
      <c r="Q158" s="45"/>
      <c r="R158" s="48" t="str">
        <f>IF(AND(NOT(ISBLANK(Q158)),Dashboard!F16&gt;0), Q158/Dashboard!F16, "")</f>
        <v/>
      </c>
      <c r="S158" s="45"/>
      <c r="T158" s="48" t="str">
        <f>IF(AND(NOT(ISBLANK(S158)),Dashboard!F92&gt;0), S158/Dashboard!F92, "")</f>
        <v/>
      </c>
      <c r="U158" s="45"/>
      <c r="V158" s="48" t="str">
        <f>IF(AND(NOT(ISBLANK(U158)),Dashboard!F93&gt;0), U158/Dashboard!F93, "")</f>
        <v/>
      </c>
      <c r="W158" s="45"/>
      <c r="X158" s="48" t="str">
        <f>IF(AND(NOT(ISBLANK(W158)),Dashboard!F94&gt;0), W158/Dashboard!F94, "")</f>
        <v/>
      </c>
    </row>
    <row r="159" spans="15:24" x14ac:dyDescent="0.35">
      <c r="P159" s="58"/>
      <c r="Q159" s="45"/>
      <c r="R159" s="48" t="str">
        <f>IF(AND(NOT(ISBLANK(Q159)),Dashboard!F16&gt;0), Q159/Dashboard!F16, "")</f>
        <v/>
      </c>
      <c r="S159" s="45"/>
      <c r="T159" s="48" t="str">
        <f>IF(AND(NOT(ISBLANK(S159)),Dashboard!F92&gt;0), S159/Dashboard!F92, "")</f>
        <v/>
      </c>
      <c r="U159" s="45"/>
      <c r="V159" s="48" t="str">
        <f>IF(AND(NOT(ISBLANK(U159)),Dashboard!F93&gt;0), U159/Dashboard!F93, "")</f>
        <v/>
      </c>
      <c r="W159" s="45"/>
      <c r="X159" s="48" t="str">
        <f>IF(AND(NOT(ISBLANK(W159)),Dashboard!F94&gt;0), W159/Dashboard!F94, "")</f>
        <v/>
      </c>
    </row>
    <row r="160" spans="15:24" x14ac:dyDescent="0.35">
      <c r="P160" s="58"/>
      <c r="Q160" s="45"/>
      <c r="R160" s="48" t="str">
        <f>IF(AND(NOT(ISBLANK(Q160)),Dashboard!F16&gt;0), Q160/Dashboard!F16, "")</f>
        <v/>
      </c>
      <c r="S160" s="45"/>
      <c r="T160" s="48" t="str">
        <f>IF(AND(NOT(ISBLANK(S160)),Dashboard!F92&gt;0), S160/Dashboard!F92, "")</f>
        <v/>
      </c>
      <c r="U160" s="45"/>
      <c r="V160" s="48" t="str">
        <f>IF(AND(NOT(ISBLANK(U160)),Dashboard!F93&gt;0), U160/Dashboard!F93, "")</f>
        <v/>
      </c>
      <c r="W160" s="45"/>
      <c r="X160" s="48" t="str">
        <f>IF(AND(NOT(ISBLANK(W160)),Dashboard!F94&gt;0), W160/Dashboard!F94, "")</f>
        <v/>
      </c>
    </row>
    <row r="161" spans="16:24" x14ac:dyDescent="0.35">
      <c r="P161" s="58"/>
      <c r="Q161" s="45"/>
      <c r="R161" s="48" t="str">
        <f>IF(AND(NOT(ISBLANK(Q161)),Dashboard!F16&gt;0), Q161/Dashboard!F16, "")</f>
        <v/>
      </c>
      <c r="S161" s="45"/>
      <c r="T161" s="48" t="str">
        <f>IF(AND(NOT(ISBLANK(S161)),Dashboard!F92&gt;0), S161/Dashboard!F92, "")</f>
        <v/>
      </c>
      <c r="U161" s="45"/>
      <c r="V161" s="48" t="str">
        <f>IF(AND(NOT(ISBLANK(U161)),Dashboard!F93&gt;0), U161/Dashboard!F93, "")</f>
        <v/>
      </c>
      <c r="W161" s="45"/>
      <c r="X161" s="48" t="str">
        <f>IF(AND(NOT(ISBLANK(W161)),Dashboard!F94&gt;0), W161/Dashboard!F94, "")</f>
        <v/>
      </c>
    </row>
    <row r="162" spans="16:24" x14ac:dyDescent="0.35">
      <c r="P162" s="58"/>
      <c r="Q162" s="45"/>
      <c r="R162" s="48" t="str">
        <f>IF(AND(NOT(ISBLANK(Q162)),Dashboard!F16&gt;0), Q162/Dashboard!F16, "")</f>
        <v/>
      </c>
      <c r="S162" s="45"/>
      <c r="T162" s="48" t="str">
        <f>IF(AND(NOT(ISBLANK(S162)),Dashboard!F92&gt;0), S162/Dashboard!F92, "")</f>
        <v/>
      </c>
      <c r="U162" s="45"/>
      <c r="V162" s="48" t="str">
        <f>IF(AND(NOT(ISBLANK(U162)),Dashboard!F93&gt;0), U162/Dashboard!F93, "")</f>
        <v/>
      </c>
      <c r="W162" s="45"/>
      <c r="X162" s="48" t="str">
        <f>IF(AND(NOT(ISBLANK(W162)),Dashboard!F94&gt;0), W162/Dashboard!F94, "")</f>
        <v/>
      </c>
    </row>
    <row r="163" spans="16:24" x14ac:dyDescent="0.35">
      <c r="P163" s="58"/>
      <c r="Q163" s="45"/>
      <c r="R163" s="48" t="str">
        <f>IF(AND(NOT(ISBLANK(Q163)),Dashboard!F16&gt;0), Q163/Dashboard!F16, "")</f>
        <v/>
      </c>
      <c r="S163" s="45"/>
      <c r="T163" s="48" t="str">
        <f>IF(AND(NOT(ISBLANK(S163)),Dashboard!F92&gt;0), S163/Dashboard!F92, "")</f>
        <v/>
      </c>
      <c r="U163" s="45"/>
      <c r="V163" s="48" t="str">
        <f>IF(AND(NOT(ISBLANK(U163)),Dashboard!F93&gt;0), U163/Dashboard!F93, "")</f>
        <v/>
      </c>
      <c r="W163" s="45"/>
      <c r="X163" s="48" t="str">
        <f>IF(AND(NOT(ISBLANK(W163)),Dashboard!F94&gt;0), W163/Dashboard!F94, "")</f>
        <v/>
      </c>
    </row>
    <row r="164" spans="16:24" x14ac:dyDescent="0.35">
      <c r="P164" s="58"/>
      <c r="Q164" s="45"/>
      <c r="R164" s="48" t="str">
        <f>IF(AND(NOT(ISBLANK(Q164)),Dashboard!F16&gt;0), Q164/Dashboard!F16, "")</f>
        <v/>
      </c>
      <c r="S164" s="45"/>
      <c r="T164" s="48" t="str">
        <f>IF(AND(NOT(ISBLANK(S164)),Dashboard!F92&gt;0), S164/Dashboard!F92, "")</f>
        <v/>
      </c>
      <c r="U164" s="45"/>
      <c r="V164" s="48" t="str">
        <f>IF(AND(NOT(ISBLANK(U164)),Dashboard!F93&gt;0), U164/Dashboard!F93, "")</f>
        <v/>
      </c>
      <c r="W164" s="45"/>
      <c r="X164" s="48" t="str">
        <f>IF(AND(NOT(ISBLANK(W164)),Dashboard!F94&gt;0), W164/Dashboard!F94, "")</f>
        <v/>
      </c>
    </row>
    <row r="165" spans="16:24" x14ac:dyDescent="0.35">
      <c r="P165" s="58"/>
      <c r="Q165" s="45"/>
      <c r="R165" s="48" t="str">
        <f>IF(AND(NOT(ISBLANK(Q165)),Dashboard!F16&gt;0), Q165/Dashboard!F16, "")</f>
        <v/>
      </c>
      <c r="S165" s="45"/>
      <c r="T165" s="48" t="str">
        <f>IF(AND(NOT(ISBLANK(S165)),Dashboard!F92&gt;0), S165/Dashboard!F92, "")</f>
        <v/>
      </c>
      <c r="U165" s="45"/>
      <c r="V165" s="48" t="str">
        <f>IF(AND(NOT(ISBLANK(U165)),Dashboard!F93&gt;0), U165/Dashboard!F93, "")</f>
        <v/>
      </c>
      <c r="W165" s="45"/>
      <c r="X165" s="48" t="str">
        <f>IF(AND(NOT(ISBLANK(W165)),Dashboard!F94&gt;0), W165/Dashboard!F94, "")</f>
        <v/>
      </c>
    </row>
    <row r="166" spans="16:24" x14ac:dyDescent="0.35">
      <c r="P166" s="58"/>
      <c r="Q166" s="45"/>
      <c r="R166" s="48" t="str">
        <f>IF(AND(NOT(ISBLANK(Q166)),Dashboard!F16&gt;0), Q166/Dashboard!F16, "")</f>
        <v/>
      </c>
      <c r="S166" s="45"/>
      <c r="T166" s="48" t="str">
        <f>IF(AND(NOT(ISBLANK(S166)),Dashboard!F92&gt;0), S166/Dashboard!F92, "")</f>
        <v/>
      </c>
      <c r="U166" s="45"/>
      <c r="V166" s="48" t="str">
        <f>IF(AND(NOT(ISBLANK(U166)),Dashboard!F93&gt;0), U166/Dashboard!F93, "")</f>
        <v/>
      </c>
      <c r="W166" s="45"/>
      <c r="X166" s="48" t="str">
        <f>IF(AND(NOT(ISBLANK(W166)),Dashboard!F94&gt;0), W166/Dashboard!F94, "")</f>
        <v/>
      </c>
    </row>
    <row r="167" spans="16:24" x14ac:dyDescent="0.35">
      <c r="P167" s="58"/>
      <c r="Q167" s="45"/>
      <c r="R167" s="48" t="str">
        <f>IF(AND(NOT(ISBLANK(Q167)),Dashboard!F16&gt;0), Q167/Dashboard!F16, "")</f>
        <v/>
      </c>
      <c r="S167" s="45"/>
      <c r="T167" s="48" t="str">
        <f>IF(AND(NOT(ISBLANK(S167)),Dashboard!F92&gt;0), S167/Dashboard!F92, "")</f>
        <v/>
      </c>
      <c r="U167" s="45"/>
      <c r="V167" s="48" t="str">
        <f>IF(AND(NOT(ISBLANK(U167)),Dashboard!F93&gt;0), U167/Dashboard!F93, "")</f>
        <v/>
      </c>
      <c r="W167" s="45"/>
      <c r="X167" s="48" t="str">
        <f>IF(AND(NOT(ISBLANK(W167)),Dashboard!F94&gt;0), W167/Dashboard!F94, "")</f>
        <v/>
      </c>
    </row>
    <row r="168" spans="16:24" x14ac:dyDescent="0.35">
      <c r="P168" s="58"/>
      <c r="Q168" s="45"/>
      <c r="R168" s="48" t="str">
        <f>IF(AND(NOT(ISBLANK(Q168)),Dashboard!F16&gt;0), Q168/Dashboard!F16, "")</f>
        <v/>
      </c>
      <c r="S168" s="45"/>
      <c r="T168" s="48" t="str">
        <f>IF(AND(NOT(ISBLANK(S168)),Dashboard!F92&gt;0), S168/Dashboard!F92, "")</f>
        <v/>
      </c>
      <c r="U168" s="45"/>
      <c r="V168" s="48" t="str">
        <f>IF(AND(NOT(ISBLANK(U168)),Dashboard!F93&gt;0), U168/Dashboard!F93, "")</f>
        <v/>
      </c>
      <c r="W168" s="45"/>
      <c r="X168" s="48" t="str">
        <f>IF(AND(NOT(ISBLANK(W168)),Dashboard!F94&gt;0), W168/Dashboard!F94, "")</f>
        <v/>
      </c>
    </row>
    <row r="169" spans="16:24" x14ac:dyDescent="0.35">
      <c r="P169" s="58"/>
      <c r="Q169" s="45"/>
      <c r="R169" s="48" t="str">
        <f>IF(AND(NOT(ISBLANK(Q169)),Dashboard!F16&gt;0), Q169/Dashboard!F16, "")</f>
        <v/>
      </c>
      <c r="S169" s="45"/>
      <c r="T169" s="48" t="str">
        <f>IF(AND(NOT(ISBLANK(S169)),Dashboard!F92&gt;0), S169/Dashboard!F92, "")</f>
        <v/>
      </c>
      <c r="U169" s="45"/>
      <c r="V169" s="48" t="str">
        <f>IF(AND(NOT(ISBLANK(U169)),Dashboard!F93&gt;0), U169/Dashboard!F93, "")</f>
        <v/>
      </c>
      <c r="W169" s="45"/>
      <c r="X169" s="48" t="str">
        <f>IF(AND(NOT(ISBLANK(W169)),Dashboard!F94&gt;0), W169/Dashboard!F94, "")</f>
        <v/>
      </c>
    </row>
    <row r="170" spans="16:24" x14ac:dyDescent="0.35">
      <c r="P170" s="58"/>
      <c r="Q170" s="45"/>
      <c r="R170" s="48" t="str">
        <f>IF(AND(NOT(ISBLANK(Q170)),Dashboard!F16&gt;0), Q170/Dashboard!F16, "")</f>
        <v/>
      </c>
      <c r="S170" s="45"/>
      <c r="T170" s="48" t="str">
        <f>IF(AND(NOT(ISBLANK(S170)),Dashboard!F92&gt;0), S170/Dashboard!F92, "")</f>
        <v/>
      </c>
      <c r="U170" s="45"/>
      <c r="V170" s="48" t="str">
        <f>IF(AND(NOT(ISBLANK(U170)),Dashboard!F93&gt;0), U170/Dashboard!F93, "")</f>
        <v/>
      </c>
      <c r="W170" s="45"/>
      <c r="X170" s="48" t="str">
        <f>IF(AND(NOT(ISBLANK(W170)),Dashboard!F94&gt;0), W170/Dashboard!F94, "")</f>
        <v/>
      </c>
    </row>
    <row r="171" spans="16:24" x14ac:dyDescent="0.35">
      <c r="P171" s="58"/>
      <c r="Q171" s="45"/>
      <c r="R171" s="48" t="str">
        <f>IF(AND(NOT(ISBLANK(Q171)),Dashboard!F16&gt;0), Q171/Dashboard!F16, "")</f>
        <v/>
      </c>
      <c r="S171" s="45"/>
      <c r="T171" s="48" t="str">
        <f>IF(AND(NOT(ISBLANK(S171)),Dashboard!F92&gt;0), S171/Dashboard!F92, "")</f>
        <v/>
      </c>
      <c r="U171" s="45"/>
      <c r="V171" s="48" t="str">
        <f>IF(AND(NOT(ISBLANK(U171)),Dashboard!F93&gt;0), U171/Dashboard!F93, "")</f>
        <v/>
      </c>
      <c r="W171" s="45"/>
      <c r="X171" s="48" t="str">
        <f>IF(AND(NOT(ISBLANK(W171)),Dashboard!F94&gt;0), W171/Dashboard!F94, "")</f>
        <v/>
      </c>
    </row>
    <row r="172" spans="16:24" x14ac:dyDescent="0.35">
      <c r="P172" s="58"/>
      <c r="Q172" s="45"/>
      <c r="R172" s="48" t="str">
        <f>IF(AND(NOT(ISBLANK(Q172)),Dashboard!F16&gt;0), Q172/Dashboard!F16, "")</f>
        <v/>
      </c>
      <c r="S172" s="45"/>
      <c r="T172" s="48" t="str">
        <f>IF(AND(NOT(ISBLANK(S172)),Dashboard!F92&gt;0), S172/Dashboard!F92, "")</f>
        <v/>
      </c>
      <c r="U172" s="45"/>
      <c r="V172" s="48" t="str">
        <f>IF(AND(NOT(ISBLANK(U172)),Dashboard!F93&gt;0), U172/Dashboard!F93, "")</f>
        <v/>
      </c>
      <c r="W172" s="45"/>
      <c r="X172" s="48" t="str">
        <f>IF(AND(NOT(ISBLANK(W172)),Dashboard!F94&gt;0), W172/Dashboard!F94, "")</f>
        <v/>
      </c>
    </row>
    <row r="173" spans="16:24" x14ac:dyDescent="0.35">
      <c r="P173" s="58"/>
      <c r="Q173" s="45"/>
      <c r="R173" s="48" t="str">
        <f>IF(AND(NOT(ISBLANK(Q173)),Dashboard!F16&gt;0), Q173/Dashboard!F16, "")</f>
        <v/>
      </c>
      <c r="S173" s="45"/>
      <c r="T173" s="48" t="str">
        <f>IF(AND(NOT(ISBLANK(S173)),Dashboard!F92&gt;0), S173/Dashboard!F92, "")</f>
        <v/>
      </c>
      <c r="U173" s="45"/>
      <c r="V173" s="48" t="str">
        <f>IF(AND(NOT(ISBLANK(U173)),Dashboard!F93&gt;0), U173/Dashboard!F93, "")</f>
        <v/>
      </c>
      <c r="W173" s="45"/>
      <c r="X173" s="48" t="str">
        <f>IF(AND(NOT(ISBLANK(W173)),Dashboard!F94&gt;0), W173/Dashboard!F94, "")</f>
        <v/>
      </c>
    </row>
    <row r="174" spans="16:24" x14ac:dyDescent="0.35">
      <c r="P174" s="58"/>
      <c r="Q174" s="45"/>
      <c r="R174" s="48" t="str">
        <f>IF(AND(NOT(ISBLANK(Q174)),Dashboard!F16&gt;0), Q174/Dashboard!F16, "")</f>
        <v/>
      </c>
      <c r="S174" s="45"/>
      <c r="T174" s="48" t="str">
        <f>IF(AND(NOT(ISBLANK(S174)),Dashboard!F92&gt;0), S174/Dashboard!F92, "")</f>
        <v/>
      </c>
      <c r="U174" s="45"/>
      <c r="V174" s="48" t="str">
        <f>IF(AND(NOT(ISBLANK(U174)),Dashboard!F93&gt;0), U174/Dashboard!F93, "")</f>
        <v/>
      </c>
      <c r="W174" s="45"/>
      <c r="X174" s="48" t="str">
        <f>IF(AND(NOT(ISBLANK(W174)),Dashboard!F94&gt;0), W174/Dashboard!F94, "")</f>
        <v/>
      </c>
    </row>
    <row r="175" spans="16:24" x14ac:dyDescent="0.35">
      <c r="P175" s="58"/>
      <c r="Q175" s="45"/>
      <c r="R175" s="48" t="str">
        <f>IF(AND(NOT(ISBLANK(Q175)),Dashboard!F16&gt;0), Q175/Dashboard!F16, "")</f>
        <v/>
      </c>
      <c r="S175" s="45"/>
      <c r="T175" s="48" t="str">
        <f>IF(AND(NOT(ISBLANK(S175)),Dashboard!F92&gt;0), S175/Dashboard!F92, "")</f>
        <v/>
      </c>
      <c r="U175" s="45"/>
      <c r="V175" s="48" t="str">
        <f>IF(AND(NOT(ISBLANK(U175)),Dashboard!F93&gt;0), U175/Dashboard!F93, "")</f>
        <v/>
      </c>
      <c r="W175" s="45"/>
      <c r="X175" s="48" t="str">
        <f>IF(AND(NOT(ISBLANK(W175)),Dashboard!F94&gt;0), W175/Dashboard!F94, "")</f>
        <v/>
      </c>
    </row>
    <row r="176" spans="16:24" x14ac:dyDescent="0.35">
      <c r="P176" s="58"/>
      <c r="Q176" s="45"/>
      <c r="R176" s="48" t="str">
        <f>IF(AND(NOT(ISBLANK(Q176)),Dashboard!F16&gt;0), Q176/Dashboard!F16, "")</f>
        <v/>
      </c>
      <c r="S176" s="45"/>
      <c r="T176" s="48" t="str">
        <f>IF(AND(NOT(ISBLANK(S176)),Dashboard!F92&gt;0), S176/Dashboard!F92, "")</f>
        <v/>
      </c>
      <c r="U176" s="45"/>
      <c r="V176" s="48" t="str">
        <f>IF(AND(NOT(ISBLANK(U176)),Dashboard!F93&gt;0), U176/Dashboard!F93, "")</f>
        <v/>
      </c>
      <c r="W176" s="45"/>
      <c r="X176" s="48" t="str">
        <f>IF(AND(NOT(ISBLANK(W176)),Dashboard!F94&gt;0), W176/Dashboard!F94, "")</f>
        <v/>
      </c>
    </row>
    <row r="177" spans="2:24" x14ac:dyDescent="0.35">
      <c r="P177" s="58"/>
      <c r="Q177" s="45"/>
      <c r="R177" s="48" t="str">
        <f>IF(AND(NOT(ISBLANK(Q177)),Dashboard!F16&gt;0), Q177/Dashboard!F16, "")</f>
        <v/>
      </c>
      <c r="S177" s="45"/>
      <c r="T177" s="48" t="str">
        <f>IF(AND(NOT(ISBLANK(S177)),Dashboard!F92&gt;0), S177/Dashboard!F92, "")</f>
        <v/>
      </c>
      <c r="U177" s="45"/>
      <c r="V177" s="48" t="str">
        <f>IF(AND(NOT(ISBLANK(U177)),Dashboard!F93&gt;0), U177/Dashboard!F93, "")</f>
        <v/>
      </c>
      <c r="W177" s="45"/>
      <c r="X177" s="48" t="str">
        <f>IF(AND(NOT(ISBLANK(W177)),Dashboard!F94&gt;0), W177/Dashboard!F94, "")</f>
        <v/>
      </c>
    </row>
    <row r="178" spans="2:24" x14ac:dyDescent="0.35">
      <c r="P178" s="58"/>
      <c r="Q178" s="45"/>
      <c r="R178" s="48" t="str">
        <f>IF(AND(NOT(ISBLANK(Q178)),Dashboard!F16&gt;0), Q178/Dashboard!F16, "")</f>
        <v/>
      </c>
      <c r="S178" s="45"/>
      <c r="T178" s="48" t="str">
        <f>IF(AND(NOT(ISBLANK(S178)),Dashboard!F92&gt;0), S178/Dashboard!F92, "")</f>
        <v/>
      </c>
      <c r="U178" s="45"/>
      <c r="V178" s="48" t="str">
        <f>IF(AND(NOT(ISBLANK(U178)),Dashboard!F93&gt;0), U178/Dashboard!F93, "")</f>
        <v/>
      </c>
      <c r="W178" s="45"/>
      <c r="X178" s="48" t="str">
        <f>IF(AND(NOT(ISBLANK(W178)),Dashboard!F94&gt;0), W178/Dashboard!F94, "")</f>
        <v/>
      </c>
    </row>
    <row r="183" spans="2:24" ht="21" x14ac:dyDescent="0.5">
      <c r="B183" s="42" t="s">
        <v>482</v>
      </c>
      <c r="P183" s="59" t="s">
        <v>483</v>
      </c>
    </row>
    <row r="185" spans="2:24" ht="45" customHeight="1" x14ac:dyDescent="0.35">
      <c r="B185" s="300" t="s">
        <v>484</v>
      </c>
      <c r="C185" s="293"/>
      <c r="D185" s="293"/>
      <c r="E185" s="293"/>
      <c r="F185" s="293"/>
      <c r="P185" s="300" t="s">
        <v>485</v>
      </c>
      <c r="Q185" s="293"/>
      <c r="R185" s="293"/>
      <c r="S185" s="293"/>
      <c r="T185" s="293"/>
      <c r="U185" s="293"/>
    </row>
    <row r="186" spans="2:24" ht="35" customHeight="1" x14ac:dyDescent="0.35">
      <c r="P186" s="297" t="s">
        <v>486</v>
      </c>
      <c r="Q186" s="297"/>
      <c r="R186" s="297" t="s">
        <v>487</v>
      </c>
      <c r="S186" s="297"/>
      <c r="T186" s="297"/>
    </row>
    <row r="187" spans="2:24" ht="30" customHeight="1" x14ac:dyDescent="0.35">
      <c r="P187" s="301">
        <v>0</v>
      </c>
      <c r="Q187" s="302"/>
      <c r="R187" s="303" t="s">
        <v>488</v>
      </c>
      <c r="S187" s="304"/>
      <c r="T187" s="304"/>
    </row>
    <row r="190" spans="2:24" ht="25" customHeight="1" x14ac:dyDescent="0.35">
      <c r="P190" s="68" t="s">
        <v>471</v>
      </c>
      <c r="Q190" s="68" t="s">
        <v>489</v>
      </c>
      <c r="R190" s="68" t="s">
        <v>490</v>
      </c>
      <c r="S190" s="305" t="s">
        <v>8</v>
      </c>
      <c r="T190" s="305"/>
      <c r="U190" s="305"/>
      <c r="V190" s="293"/>
    </row>
    <row r="191" spans="2:24" ht="20" customHeight="1" x14ac:dyDescent="0.35">
      <c r="P191" s="70"/>
      <c r="Q191" s="71"/>
      <c r="R191" s="72" t="str">
        <f>IF(AND(NOT(ISBLANK(Q191)), Dashboard!$P187&gt;0), Q191/Dashboard!$P187, "")</f>
        <v/>
      </c>
      <c r="S191" s="306"/>
      <c r="T191" s="307"/>
      <c r="U191" s="307"/>
      <c r="V191" s="307"/>
    </row>
    <row r="192" spans="2:24" ht="20" customHeight="1" x14ac:dyDescent="0.35">
      <c r="P192" s="70"/>
      <c r="Q192" s="71"/>
      <c r="R192" s="72" t="str">
        <f>IF(AND(NOT(ISBLANK(Q192)), Dashboard!$P187&gt;0), Q192/Dashboard!$P187, "")</f>
        <v/>
      </c>
      <c r="S192" s="306"/>
      <c r="T192" s="307"/>
      <c r="U192" s="307"/>
      <c r="V192" s="307"/>
    </row>
    <row r="193" spans="16:22" ht="20" customHeight="1" x14ac:dyDescent="0.35">
      <c r="P193" s="70"/>
      <c r="Q193" s="71"/>
      <c r="R193" s="72" t="str">
        <f>IF(AND(NOT(ISBLANK(Q193)), Dashboard!$P187&gt;0), Q193/Dashboard!$P187, "")</f>
        <v/>
      </c>
      <c r="S193" s="306"/>
      <c r="T193" s="307"/>
      <c r="U193" s="307"/>
      <c r="V193" s="307"/>
    </row>
    <row r="194" spans="16:22" ht="20" customHeight="1" x14ac:dyDescent="0.35">
      <c r="P194" s="70"/>
      <c r="Q194" s="71"/>
      <c r="R194" s="72" t="str">
        <f>IF(AND(NOT(ISBLANK(Q194)), Dashboard!$P187&gt;0), Q194/Dashboard!$P187, "")</f>
        <v/>
      </c>
      <c r="S194" s="306"/>
      <c r="T194" s="307"/>
      <c r="U194" s="307"/>
      <c r="V194" s="307"/>
    </row>
    <row r="195" spans="16:22" ht="20" customHeight="1" x14ac:dyDescent="0.35">
      <c r="P195" s="70"/>
      <c r="Q195" s="71"/>
      <c r="R195" s="72" t="str">
        <f>IF(AND(NOT(ISBLANK(Q195)), Dashboard!$P187&gt;0), Q195/Dashboard!$P187, "")</f>
        <v/>
      </c>
      <c r="S195" s="306"/>
      <c r="T195" s="307"/>
      <c r="U195" s="307"/>
      <c r="V195" s="307"/>
    </row>
    <row r="196" spans="16:22" ht="20" customHeight="1" x14ac:dyDescent="0.35">
      <c r="P196" s="70"/>
      <c r="Q196" s="71"/>
      <c r="R196" s="72" t="str">
        <f>IF(AND(NOT(ISBLANK(Q196)), Dashboard!$P187&gt;0), Q196/Dashboard!$P187, "")</f>
        <v/>
      </c>
      <c r="S196" s="306"/>
      <c r="T196" s="307"/>
      <c r="U196" s="307"/>
      <c r="V196" s="307"/>
    </row>
    <row r="197" spans="16:22" ht="20" customHeight="1" x14ac:dyDescent="0.35">
      <c r="P197" s="70"/>
      <c r="Q197" s="71"/>
      <c r="R197" s="72" t="str">
        <f>IF(AND(NOT(ISBLANK(Q197)), Dashboard!$P187&gt;0), Q197/Dashboard!$P187, "")</f>
        <v/>
      </c>
      <c r="S197" s="306"/>
      <c r="T197" s="307"/>
      <c r="U197" s="307"/>
      <c r="V197" s="307"/>
    </row>
    <row r="198" spans="16:22" ht="20" customHeight="1" x14ac:dyDescent="0.35">
      <c r="P198" s="70"/>
      <c r="Q198" s="71"/>
      <c r="R198" s="72" t="str">
        <f>IF(AND(NOT(ISBLANK(Q198)), Dashboard!$P187&gt;0), Q198/Dashboard!$P187, "")</f>
        <v/>
      </c>
      <c r="S198" s="306"/>
      <c r="T198" s="307"/>
      <c r="U198" s="307"/>
      <c r="V198" s="307"/>
    </row>
    <row r="199" spans="16:22" ht="20" customHeight="1" x14ac:dyDescent="0.35">
      <c r="P199" s="70"/>
      <c r="Q199" s="71"/>
      <c r="R199" s="72" t="str">
        <f>IF(AND(NOT(ISBLANK(Q199)), Dashboard!$P187&gt;0), Q199/Dashboard!$P187, "")</f>
        <v/>
      </c>
      <c r="S199" s="306"/>
      <c r="T199" s="307"/>
      <c r="U199" s="307"/>
      <c r="V199" s="307"/>
    </row>
    <row r="200" spans="16:22" ht="20" customHeight="1" x14ac:dyDescent="0.35">
      <c r="P200" s="70"/>
      <c r="Q200" s="71"/>
      <c r="R200" s="72" t="str">
        <f>IF(AND(NOT(ISBLANK(Q200)), Dashboard!$P187&gt;0), Q200/Dashboard!$P187, "")</f>
        <v/>
      </c>
      <c r="S200" s="306"/>
      <c r="T200" s="307"/>
      <c r="U200" s="307"/>
      <c r="V200" s="307"/>
    </row>
    <row r="201" spans="16:22" ht="20" customHeight="1" x14ac:dyDescent="0.35">
      <c r="P201" s="70"/>
      <c r="Q201" s="71"/>
      <c r="R201" s="72" t="str">
        <f>IF(AND(NOT(ISBLANK(Q201)), Dashboard!$P187&gt;0), Q201/Dashboard!$P187, "")</f>
        <v/>
      </c>
      <c r="S201" s="306"/>
      <c r="T201" s="307"/>
      <c r="U201" s="307"/>
      <c r="V201" s="307"/>
    </row>
    <row r="202" spans="16:22" ht="20" customHeight="1" x14ac:dyDescent="0.35">
      <c r="P202" s="70"/>
      <c r="Q202" s="71"/>
      <c r="R202" s="72" t="str">
        <f>IF(AND(NOT(ISBLANK(Q202)), Dashboard!$P187&gt;0), Q202/Dashboard!$P187, "")</f>
        <v/>
      </c>
      <c r="S202" s="306"/>
      <c r="T202" s="307"/>
      <c r="U202" s="307"/>
      <c r="V202" s="307"/>
    </row>
    <row r="203" spans="16:22" ht="20" customHeight="1" x14ac:dyDescent="0.35">
      <c r="P203" s="70"/>
      <c r="Q203" s="71"/>
      <c r="R203" s="72" t="str">
        <f>IF(AND(NOT(ISBLANK(Q203)), Dashboard!$P187&gt;0), Q203/Dashboard!$P187, "")</f>
        <v/>
      </c>
      <c r="S203" s="306"/>
      <c r="T203" s="307"/>
      <c r="U203" s="307"/>
      <c r="V203" s="307"/>
    </row>
    <row r="204" spans="16:22" ht="20" customHeight="1" x14ac:dyDescent="0.35">
      <c r="P204" s="70"/>
      <c r="Q204" s="71"/>
      <c r="R204" s="72" t="str">
        <f>IF(AND(NOT(ISBLANK(Q204)), Dashboard!$P187&gt;0), Q204/Dashboard!$P187, "")</f>
        <v/>
      </c>
      <c r="S204" s="306"/>
      <c r="T204" s="307"/>
      <c r="U204" s="307"/>
      <c r="V204" s="307"/>
    </row>
    <row r="205" spans="16:22" ht="20" customHeight="1" x14ac:dyDescent="0.35">
      <c r="P205" s="70"/>
      <c r="Q205" s="71"/>
      <c r="R205" s="72" t="str">
        <f>IF(AND(NOT(ISBLANK(Q205)), Dashboard!$P187&gt;0), Q205/Dashboard!$P187, "")</f>
        <v/>
      </c>
      <c r="S205" s="306"/>
      <c r="T205" s="307"/>
      <c r="U205" s="307"/>
      <c r="V205" s="307"/>
    </row>
    <row r="206" spans="16:22" ht="20" customHeight="1" x14ac:dyDescent="0.35">
      <c r="P206" s="70"/>
      <c r="Q206" s="71"/>
      <c r="R206" s="72" t="str">
        <f>IF(AND(NOT(ISBLANK(Q206)), Dashboard!$P187&gt;0), Q206/Dashboard!$P187, "")</f>
        <v/>
      </c>
      <c r="S206" s="306"/>
      <c r="T206" s="307"/>
      <c r="U206" s="307"/>
      <c r="V206" s="307"/>
    </row>
    <row r="207" spans="16:22" ht="20" customHeight="1" x14ac:dyDescent="0.35">
      <c r="P207" s="70"/>
      <c r="Q207" s="71"/>
      <c r="R207" s="72" t="str">
        <f>IF(AND(NOT(ISBLANK(Q207)), Dashboard!$P187&gt;0), Q207/Dashboard!$P187, "")</f>
        <v/>
      </c>
      <c r="S207" s="306"/>
      <c r="T207" s="307"/>
      <c r="U207" s="307"/>
      <c r="V207" s="307"/>
    </row>
    <row r="208" spans="16:22" ht="20" customHeight="1" x14ac:dyDescent="0.35">
      <c r="P208" s="70"/>
      <c r="Q208" s="71"/>
      <c r="R208" s="72" t="str">
        <f>IF(AND(NOT(ISBLANK(Q208)), Dashboard!$P187&gt;0), Q208/Dashboard!$P187, "")</f>
        <v/>
      </c>
      <c r="S208" s="306"/>
      <c r="T208" s="307"/>
      <c r="U208" s="307"/>
      <c r="V208" s="307"/>
    </row>
    <row r="209" spans="2:22" ht="20" customHeight="1" x14ac:dyDescent="0.35">
      <c r="P209" s="70"/>
      <c r="Q209" s="71"/>
      <c r="R209" s="72" t="str">
        <f>IF(AND(NOT(ISBLANK(Q209)), Dashboard!$P187&gt;0), Q209/Dashboard!$P187, "")</f>
        <v/>
      </c>
      <c r="S209" s="306"/>
      <c r="T209" s="307"/>
      <c r="U209" s="307"/>
      <c r="V209" s="307"/>
    </row>
    <row r="210" spans="2:22" ht="20" customHeight="1" x14ac:dyDescent="0.35">
      <c r="P210" s="70"/>
      <c r="Q210" s="71"/>
      <c r="R210" s="72" t="str">
        <f>IF(AND(NOT(ISBLANK(Q210)), Dashboard!$P187&gt;0), Q210/Dashboard!$P187, "")</f>
        <v/>
      </c>
      <c r="S210" s="306"/>
      <c r="T210" s="307"/>
      <c r="U210" s="307"/>
      <c r="V210" s="307"/>
    </row>
    <row r="214" spans="2:22" ht="32" customHeight="1" x14ac:dyDescent="0.35">
      <c r="B214" s="291" t="s">
        <v>334</v>
      </c>
      <c r="C214" s="291"/>
      <c r="D214" s="291"/>
      <c r="E214" s="291"/>
      <c r="F214" s="291"/>
      <c r="G214" s="291"/>
      <c r="H214" s="291"/>
      <c r="I214" s="291"/>
    </row>
  </sheetData>
  <mergeCells count="55">
    <mergeCell ref="B214:I214"/>
    <mergeCell ref="S206:V206"/>
    <mergeCell ref="S207:V207"/>
    <mergeCell ref="S208:V208"/>
    <mergeCell ref="S209:V209"/>
    <mergeCell ref="S210:V210"/>
    <mergeCell ref="S201:V201"/>
    <mergeCell ref="S202:V202"/>
    <mergeCell ref="S203:V203"/>
    <mergeCell ref="S204:V204"/>
    <mergeCell ref="S205:V205"/>
    <mergeCell ref="S196:V196"/>
    <mergeCell ref="S197:V197"/>
    <mergeCell ref="S198:V198"/>
    <mergeCell ref="S199:V199"/>
    <mergeCell ref="S200:V200"/>
    <mergeCell ref="S191:V191"/>
    <mergeCell ref="S192:V192"/>
    <mergeCell ref="S193:V193"/>
    <mergeCell ref="S194:V194"/>
    <mergeCell ref="S195:V195"/>
    <mergeCell ref="P186:Q186"/>
    <mergeCell ref="R186:T186"/>
    <mergeCell ref="P187:Q187"/>
    <mergeCell ref="R187:T187"/>
    <mergeCell ref="S190:V190"/>
    <mergeCell ref="C135:D135"/>
    <mergeCell ref="G135:H135"/>
    <mergeCell ref="B144:F144"/>
    <mergeCell ref="P144:W144"/>
    <mergeCell ref="B185:F185"/>
    <mergeCell ref="P185:U185"/>
    <mergeCell ref="C132:D132"/>
    <mergeCell ref="G132:H132"/>
    <mergeCell ref="C133:D133"/>
    <mergeCell ref="G133:H133"/>
    <mergeCell ref="C134:D134"/>
    <mergeCell ref="G134:H134"/>
    <mergeCell ref="C129:D129"/>
    <mergeCell ref="G129:H129"/>
    <mergeCell ref="C130:D130"/>
    <mergeCell ref="G130:H130"/>
    <mergeCell ref="C131:D131"/>
    <mergeCell ref="G131:H131"/>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30:H135">
    <cfRule type="expression" dxfId="80" priority="4">
      <formula>$G130&gt;=0.8</formula>
    </cfRule>
    <cfRule type="expression" dxfId="79" priority="5">
      <formula>AND($G130&gt;=0.5,$G130&lt;0.8)</formula>
    </cfRule>
    <cfRule type="expression" dxfId="78" priority="6">
      <formula>$G130&lt;0.5</formula>
    </cfRule>
  </conditionalFormatting>
  <conditionalFormatting sqref="K130:K135">
    <cfRule type="cellIs" dxfId="77" priority="7" operator="greaterThan">
      <formula>0</formula>
    </cfRule>
  </conditionalFormatting>
  <conditionalFormatting sqref="L130:L135">
    <cfRule type="cellIs" dxfId="76" priority="8" operator="greaterThan">
      <formula>0</formula>
    </cfRule>
  </conditionalFormatting>
  <conditionalFormatting sqref="M130:M135">
    <cfRule type="cellIs" dxfId="75" priority="9" operator="greaterThan">
      <formula>0</formula>
    </cfRule>
  </conditionalFormatting>
  <conditionalFormatting sqref="N130:N135">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9" xr:uid="{00000000-0002-0000-0100-000000000000}">
      <formula1>0</formula1>
      <formula2>C16</formula2>
    </dataValidation>
    <dataValidation type="whole" allowBlank="1" showErrorMessage="1" errorTitle="Invalid count" error="Value must be between 0 and the current implemented total." sqref="S149" xr:uid="{00000000-0002-0000-0100-000001000000}">
      <formula1>0</formula1>
      <formula2>C92</formula2>
    </dataValidation>
    <dataValidation type="whole" allowBlank="1" showErrorMessage="1" errorTitle="Invalid count" error="Value must be between 0 and the current implemented total." sqref="U149" xr:uid="{00000000-0002-0000-0100-000002000000}">
      <formula1>0</formula1>
      <formula2>C93</formula2>
    </dataValidation>
    <dataValidation type="whole" allowBlank="1" showErrorMessage="1" errorTitle="Invalid count" error="Value must be between 0 and the current implemented total." sqref="W149" xr:uid="{00000000-0002-0000-0100-000003000000}">
      <formula1>0</formula1>
      <formula2>C94</formula2>
    </dataValidation>
    <dataValidation type="whole" allowBlank="1" showErrorMessage="1" errorTitle="Invalid overall count" error="Overall count must be between 0 and the current implemented total." sqref="Q150" xr:uid="{00000000-0002-0000-0100-000004000000}">
      <formula1>0</formula1>
      <formula2>C16</formula2>
    </dataValidation>
    <dataValidation type="whole" allowBlank="1" showErrorMessage="1" errorTitle="Invalid count" error="Value must be between 0 and the current implemented total." sqref="S150" xr:uid="{00000000-0002-0000-0100-000005000000}">
      <formula1>0</formula1>
      <formula2>C92</formula2>
    </dataValidation>
    <dataValidation type="whole" allowBlank="1" showErrorMessage="1" errorTitle="Invalid count" error="Value must be between 0 and the current implemented total." sqref="U150" xr:uid="{00000000-0002-0000-0100-000006000000}">
      <formula1>0</formula1>
      <formula2>C93</formula2>
    </dataValidation>
    <dataValidation type="whole" allowBlank="1" showErrorMessage="1" errorTitle="Invalid count" error="Value must be between 0 and the current implemented total." sqref="W150" xr:uid="{00000000-0002-0000-0100-000007000000}">
      <formula1>0</formula1>
      <formula2>C94</formula2>
    </dataValidation>
    <dataValidation type="whole" allowBlank="1" showErrorMessage="1" errorTitle="Invalid overall count" error="Overall count must be between 0 and the current implemented total." sqref="Q151" xr:uid="{00000000-0002-0000-0100-000008000000}">
      <formula1>0</formula1>
      <formula2>C16</formula2>
    </dataValidation>
    <dataValidation type="whole" allowBlank="1" showErrorMessage="1" errorTitle="Invalid count" error="Value must be between 0 and the current implemented total." sqref="S151" xr:uid="{00000000-0002-0000-0100-000009000000}">
      <formula1>0</formula1>
      <formula2>C92</formula2>
    </dataValidation>
    <dataValidation type="whole" allowBlank="1" showErrorMessage="1" errorTitle="Invalid count" error="Value must be between 0 and the current implemented total." sqref="U151" xr:uid="{00000000-0002-0000-0100-00000A000000}">
      <formula1>0</formula1>
      <formula2>C93</formula2>
    </dataValidation>
    <dataValidation type="whole" allowBlank="1" showErrorMessage="1" errorTitle="Invalid count" error="Value must be between 0 and the current implemented total." sqref="W151" xr:uid="{00000000-0002-0000-0100-00000B000000}">
      <formula1>0</formula1>
      <formula2>C94</formula2>
    </dataValidation>
    <dataValidation type="whole" allowBlank="1" showErrorMessage="1" errorTitle="Invalid overall count" error="Overall count must be between 0 and the current implemented total." sqref="Q152" xr:uid="{00000000-0002-0000-0100-00000C000000}">
      <formula1>0</formula1>
      <formula2>C16</formula2>
    </dataValidation>
    <dataValidation type="whole" allowBlank="1" showErrorMessage="1" errorTitle="Invalid count" error="Value must be between 0 and the current implemented total." sqref="S152" xr:uid="{00000000-0002-0000-0100-00000D000000}">
      <formula1>0</formula1>
      <formula2>C92</formula2>
    </dataValidation>
    <dataValidation type="whole" allowBlank="1" showErrorMessage="1" errorTitle="Invalid count" error="Value must be between 0 and the current implemented total." sqref="U152" xr:uid="{00000000-0002-0000-0100-00000E000000}">
      <formula1>0</formula1>
      <formula2>C93</formula2>
    </dataValidation>
    <dataValidation type="whole" allowBlank="1" showErrorMessage="1" errorTitle="Invalid count" error="Value must be between 0 and the current implemented total." sqref="W152" xr:uid="{00000000-0002-0000-0100-00000F000000}">
      <formula1>0</formula1>
      <formula2>C94</formula2>
    </dataValidation>
    <dataValidation type="whole" allowBlank="1" showErrorMessage="1" errorTitle="Invalid overall count" error="Overall count must be between 0 and the current implemented total." sqref="Q153" xr:uid="{00000000-0002-0000-0100-000010000000}">
      <formula1>0</formula1>
      <formula2>C16</formula2>
    </dataValidation>
    <dataValidation type="whole" allowBlank="1" showErrorMessage="1" errorTitle="Invalid count" error="Value must be between 0 and the current implemented total." sqref="S153" xr:uid="{00000000-0002-0000-0100-000011000000}">
      <formula1>0</formula1>
      <formula2>C92</formula2>
    </dataValidation>
    <dataValidation type="whole" allowBlank="1" showErrorMessage="1" errorTitle="Invalid count" error="Value must be between 0 and the current implemented total." sqref="U153" xr:uid="{00000000-0002-0000-0100-000012000000}">
      <formula1>0</formula1>
      <formula2>C93</formula2>
    </dataValidation>
    <dataValidation type="whole" allowBlank="1" showErrorMessage="1" errorTitle="Invalid count" error="Value must be between 0 and the current implemented total." sqref="W153" xr:uid="{00000000-0002-0000-0100-000013000000}">
      <formula1>0</formula1>
      <formula2>C94</formula2>
    </dataValidation>
    <dataValidation type="whole" allowBlank="1" showErrorMessage="1" errorTitle="Invalid overall count" error="Overall count must be between 0 and the current implemented total." sqref="Q154" xr:uid="{00000000-0002-0000-0100-000014000000}">
      <formula1>0</formula1>
      <formula2>C16</formula2>
    </dataValidation>
    <dataValidation type="whole" allowBlank="1" showErrorMessage="1" errorTitle="Invalid count" error="Value must be between 0 and the current implemented total." sqref="S154" xr:uid="{00000000-0002-0000-0100-000015000000}">
      <formula1>0</formula1>
      <formula2>C92</formula2>
    </dataValidation>
    <dataValidation type="whole" allowBlank="1" showErrorMessage="1" errorTitle="Invalid count" error="Value must be between 0 and the current implemented total." sqref="U154" xr:uid="{00000000-0002-0000-0100-000016000000}">
      <formula1>0</formula1>
      <formula2>C93</formula2>
    </dataValidation>
    <dataValidation type="whole" allowBlank="1" showErrorMessage="1" errorTitle="Invalid count" error="Value must be between 0 and the current implemented total." sqref="W154" xr:uid="{00000000-0002-0000-0100-000017000000}">
      <formula1>0</formula1>
      <formula2>C94</formula2>
    </dataValidation>
    <dataValidation type="whole" allowBlank="1" showErrorMessage="1" errorTitle="Invalid overall count" error="Overall count must be between 0 and the current implemented total." sqref="Q155" xr:uid="{00000000-0002-0000-0100-000018000000}">
      <formula1>0</formula1>
      <formula2>C16</formula2>
    </dataValidation>
    <dataValidation type="whole" allowBlank="1" showErrorMessage="1" errorTitle="Invalid count" error="Value must be between 0 and the current implemented total." sqref="S155" xr:uid="{00000000-0002-0000-0100-000019000000}">
      <formula1>0</formula1>
      <formula2>C92</formula2>
    </dataValidation>
    <dataValidation type="whole" allowBlank="1" showErrorMessage="1" errorTitle="Invalid count" error="Value must be between 0 and the current implemented total." sqref="U155" xr:uid="{00000000-0002-0000-0100-00001A000000}">
      <formula1>0</formula1>
      <formula2>C93</formula2>
    </dataValidation>
    <dataValidation type="whole" allowBlank="1" showErrorMessage="1" errorTitle="Invalid count" error="Value must be between 0 and the current implemented total." sqref="W155" xr:uid="{00000000-0002-0000-0100-00001B000000}">
      <formula1>0</formula1>
      <formula2>C94</formula2>
    </dataValidation>
    <dataValidation type="whole" allowBlank="1" showErrorMessage="1" errorTitle="Invalid overall count" error="Overall count must be between 0 and the current implemented total." sqref="Q156" xr:uid="{00000000-0002-0000-0100-00001C000000}">
      <formula1>0</formula1>
      <formula2>C16</formula2>
    </dataValidation>
    <dataValidation type="whole" allowBlank="1" showErrorMessage="1" errorTitle="Invalid count" error="Value must be between 0 and the current implemented total." sqref="S156" xr:uid="{00000000-0002-0000-0100-00001D000000}">
      <formula1>0</formula1>
      <formula2>C92</formula2>
    </dataValidation>
    <dataValidation type="whole" allowBlank="1" showErrorMessage="1" errorTitle="Invalid count" error="Value must be between 0 and the current implemented total." sqref="U156" xr:uid="{00000000-0002-0000-0100-00001E000000}">
      <formula1>0</formula1>
      <formula2>C93</formula2>
    </dataValidation>
    <dataValidation type="whole" allowBlank="1" showErrorMessage="1" errorTitle="Invalid count" error="Value must be between 0 and the current implemented total." sqref="W156" xr:uid="{00000000-0002-0000-0100-00001F000000}">
      <formula1>0</formula1>
      <formula2>C94</formula2>
    </dataValidation>
    <dataValidation type="whole" allowBlank="1" showErrorMessage="1" errorTitle="Invalid overall count" error="Overall count must be between 0 and the current implemented total." sqref="Q157" xr:uid="{00000000-0002-0000-0100-000020000000}">
      <formula1>0</formula1>
      <formula2>C16</formula2>
    </dataValidation>
    <dataValidation type="whole" allowBlank="1" showErrorMessage="1" errorTitle="Invalid count" error="Value must be between 0 and the current implemented total." sqref="S157" xr:uid="{00000000-0002-0000-0100-000021000000}">
      <formula1>0</formula1>
      <formula2>C92</formula2>
    </dataValidation>
    <dataValidation type="whole" allowBlank="1" showErrorMessage="1" errorTitle="Invalid count" error="Value must be between 0 and the current implemented total." sqref="U157" xr:uid="{00000000-0002-0000-0100-000022000000}">
      <formula1>0</formula1>
      <formula2>C93</formula2>
    </dataValidation>
    <dataValidation type="whole" allowBlank="1" showErrorMessage="1" errorTitle="Invalid count" error="Value must be between 0 and the current implemented total." sqref="W157" xr:uid="{00000000-0002-0000-0100-000023000000}">
      <formula1>0</formula1>
      <formula2>C94</formula2>
    </dataValidation>
    <dataValidation type="whole" allowBlank="1" showErrorMessage="1" errorTitle="Invalid overall count" error="Overall count must be between 0 and the current implemented total." sqref="Q158" xr:uid="{00000000-0002-0000-0100-000024000000}">
      <formula1>0</formula1>
      <formula2>C16</formula2>
    </dataValidation>
    <dataValidation type="whole" allowBlank="1" showErrorMessage="1" errorTitle="Invalid count" error="Value must be between 0 and the current implemented total." sqref="S158" xr:uid="{00000000-0002-0000-0100-000025000000}">
      <formula1>0</formula1>
      <formula2>C92</formula2>
    </dataValidation>
    <dataValidation type="whole" allowBlank="1" showErrorMessage="1" errorTitle="Invalid count" error="Value must be between 0 and the current implemented total." sqref="U158" xr:uid="{00000000-0002-0000-0100-000026000000}">
      <formula1>0</formula1>
      <formula2>C93</formula2>
    </dataValidation>
    <dataValidation type="whole" allowBlank="1" showErrorMessage="1" errorTitle="Invalid count" error="Value must be between 0 and the current implemented total." sqref="W158" xr:uid="{00000000-0002-0000-0100-000027000000}">
      <formula1>0</formula1>
      <formula2>C94</formula2>
    </dataValidation>
    <dataValidation type="whole" allowBlank="1" showErrorMessage="1" errorTitle="Invalid overall count" error="Overall count must be between 0 and the current implemented total." sqref="Q159" xr:uid="{00000000-0002-0000-0100-000028000000}">
      <formula1>0</formula1>
      <formula2>C16</formula2>
    </dataValidation>
    <dataValidation type="whole" allowBlank="1" showErrorMessage="1" errorTitle="Invalid count" error="Value must be between 0 and the current implemented total." sqref="S159" xr:uid="{00000000-0002-0000-0100-000029000000}">
      <formula1>0</formula1>
      <formula2>C92</formula2>
    </dataValidation>
    <dataValidation type="whole" allowBlank="1" showErrorMessage="1" errorTitle="Invalid count" error="Value must be between 0 and the current implemented total." sqref="U159" xr:uid="{00000000-0002-0000-0100-00002A000000}">
      <formula1>0</formula1>
      <formula2>C93</formula2>
    </dataValidation>
    <dataValidation type="whole" allowBlank="1" showErrorMessage="1" errorTitle="Invalid count" error="Value must be between 0 and the current implemented total." sqref="W159" xr:uid="{00000000-0002-0000-0100-00002B000000}">
      <formula1>0</formula1>
      <formula2>C94</formula2>
    </dataValidation>
    <dataValidation type="whole" allowBlank="1" showErrorMessage="1" errorTitle="Invalid overall count" error="Overall count must be between 0 and the current implemented total." sqref="Q160" xr:uid="{00000000-0002-0000-0100-00002C000000}">
      <formula1>0</formula1>
      <formula2>C16</formula2>
    </dataValidation>
    <dataValidation type="whole" allowBlank="1" showErrorMessage="1" errorTitle="Invalid count" error="Value must be between 0 and the current implemented total." sqref="S160" xr:uid="{00000000-0002-0000-0100-00002D000000}">
      <formula1>0</formula1>
      <formula2>C92</formula2>
    </dataValidation>
    <dataValidation type="whole" allowBlank="1" showErrorMessage="1" errorTitle="Invalid count" error="Value must be between 0 and the current implemented total." sqref="U160" xr:uid="{00000000-0002-0000-0100-00002E000000}">
      <formula1>0</formula1>
      <formula2>C93</formula2>
    </dataValidation>
    <dataValidation type="whole" allowBlank="1" showErrorMessage="1" errorTitle="Invalid count" error="Value must be between 0 and the current implemented total." sqref="W160" xr:uid="{00000000-0002-0000-0100-00002F000000}">
      <formula1>0</formula1>
      <formula2>C94</formula2>
    </dataValidation>
    <dataValidation type="whole" allowBlank="1" showErrorMessage="1" errorTitle="Invalid overall count" error="Overall count must be between 0 and the current implemented total." sqref="Q161" xr:uid="{00000000-0002-0000-0100-000030000000}">
      <formula1>0</formula1>
      <formula2>C16</formula2>
    </dataValidation>
    <dataValidation type="whole" allowBlank="1" showErrorMessage="1" errorTitle="Invalid count" error="Value must be between 0 and the current implemented total." sqref="S161" xr:uid="{00000000-0002-0000-0100-000031000000}">
      <formula1>0</formula1>
      <formula2>C92</formula2>
    </dataValidation>
    <dataValidation type="whole" allowBlank="1" showErrorMessage="1" errorTitle="Invalid count" error="Value must be between 0 and the current implemented total." sqref="U161" xr:uid="{00000000-0002-0000-0100-000032000000}">
      <formula1>0</formula1>
      <formula2>C93</formula2>
    </dataValidation>
    <dataValidation type="whole" allowBlank="1" showErrorMessage="1" errorTitle="Invalid count" error="Value must be between 0 and the current implemented total." sqref="W161" xr:uid="{00000000-0002-0000-0100-000033000000}">
      <formula1>0</formula1>
      <formula2>C94</formula2>
    </dataValidation>
    <dataValidation type="whole" allowBlank="1" showErrorMessage="1" errorTitle="Invalid overall count" error="Overall count must be between 0 and the current implemented total." sqref="Q162" xr:uid="{00000000-0002-0000-0100-000034000000}">
      <formula1>0</formula1>
      <formula2>C16</formula2>
    </dataValidation>
    <dataValidation type="whole" allowBlank="1" showErrorMessage="1" errorTitle="Invalid count" error="Value must be between 0 and the current implemented total." sqref="S162" xr:uid="{00000000-0002-0000-0100-000035000000}">
      <formula1>0</formula1>
      <formula2>C92</formula2>
    </dataValidation>
    <dataValidation type="whole" allowBlank="1" showErrorMessage="1" errorTitle="Invalid count" error="Value must be between 0 and the current implemented total." sqref="U162" xr:uid="{00000000-0002-0000-0100-000036000000}">
      <formula1>0</formula1>
      <formula2>C93</formula2>
    </dataValidation>
    <dataValidation type="whole" allowBlank="1" showErrorMessage="1" errorTitle="Invalid count" error="Value must be between 0 and the current implemented total." sqref="W162" xr:uid="{00000000-0002-0000-0100-000037000000}">
      <formula1>0</formula1>
      <formula2>C94</formula2>
    </dataValidation>
    <dataValidation type="whole" allowBlank="1" showErrorMessage="1" errorTitle="Invalid overall count" error="Overall count must be between 0 and the current implemented total." sqref="Q163" xr:uid="{00000000-0002-0000-0100-000038000000}">
      <formula1>0</formula1>
      <formula2>C16</formula2>
    </dataValidation>
    <dataValidation type="whole" allowBlank="1" showErrorMessage="1" errorTitle="Invalid count" error="Value must be between 0 and the current implemented total." sqref="S163" xr:uid="{00000000-0002-0000-0100-000039000000}">
      <formula1>0</formula1>
      <formula2>C92</formula2>
    </dataValidation>
    <dataValidation type="whole" allowBlank="1" showErrorMessage="1" errorTitle="Invalid count" error="Value must be between 0 and the current implemented total." sqref="U163" xr:uid="{00000000-0002-0000-0100-00003A000000}">
      <formula1>0</formula1>
      <formula2>C93</formula2>
    </dataValidation>
    <dataValidation type="whole" allowBlank="1" showErrorMessage="1" errorTitle="Invalid count" error="Value must be between 0 and the current implemented total." sqref="W163" xr:uid="{00000000-0002-0000-0100-00003B000000}">
      <formula1>0</formula1>
      <formula2>C94</formula2>
    </dataValidation>
    <dataValidation type="whole" allowBlank="1" showErrorMessage="1" errorTitle="Invalid overall count" error="Overall count must be between 0 and the current implemented total." sqref="Q164" xr:uid="{00000000-0002-0000-0100-00003C000000}">
      <formula1>0</formula1>
      <formula2>C16</formula2>
    </dataValidation>
    <dataValidation type="whole" allowBlank="1" showErrorMessage="1" errorTitle="Invalid count" error="Value must be between 0 and the current implemented total." sqref="S164" xr:uid="{00000000-0002-0000-0100-00003D000000}">
      <formula1>0</formula1>
      <formula2>C92</formula2>
    </dataValidation>
    <dataValidation type="whole" allowBlank="1" showErrorMessage="1" errorTitle="Invalid count" error="Value must be between 0 and the current implemented total." sqref="U164" xr:uid="{00000000-0002-0000-0100-00003E000000}">
      <formula1>0</formula1>
      <formula2>C93</formula2>
    </dataValidation>
    <dataValidation type="whole" allowBlank="1" showErrorMessage="1" errorTitle="Invalid count" error="Value must be between 0 and the current implemented total." sqref="W164" xr:uid="{00000000-0002-0000-0100-00003F000000}">
      <formula1>0</formula1>
      <formula2>C94</formula2>
    </dataValidation>
    <dataValidation type="whole" allowBlank="1" showErrorMessage="1" errorTitle="Invalid overall count" error="Overall count must be between 0 and the current implemented total." sqref="Q165" xr:uid="{00000000-0002-0000-0100-000040000000}">
      <formula1>0</formula1>
      <formula2>C16</formula2>
    </dataValidation>
    <dataValidation type="whole" allowBlank="1" showErrorMessage="1" errorTitle="Invalid count" error="Value must be between 0 and the current implemented total." sqref="S165" xr:uid="{00000000-0002-0000-0100-000041000000}">
      <formula1>0</formula1>
      <formula2>C92</formula2>
    </dataValidation>
    <dataValidation type="whole" allowBlank="1" showErrorMessage="1" errorTitle="Invalid count" error="Value must be between 0 and the current implemented total." sqref="U165" xr:uid="{00000000-0002-0000-0100-000042000000}">
      <formula1>0</formula1>
      <formula2>C93</formula2>
    </dataValidation>
    <dataValidation type="whole" allowBlank="1" showErrorMessage="1" errorTitle="Invalid count" error="Value must be between 0 and the current implemented total." sqref="W165" xr:uid="{00000000-0002-0000-0100-000043000000}">
      <formula1>0</formula1>
      <formula2>C94</formula2>
    </dataValidation>
    <dataValidation type="whole" allowBlank="1" showErrorMessage="1" errorTitle="Invalid overall count" error="Overall count must be between 0 and the current implemented total." sqref="Q166" xr:uid="{00000000-0002-0000-0100-000044000000}">
      <formula1>0</formula1>
      <formula2>C16</formula2>
    </dataValidation>
    <dataValidation type="whole" allowBlank="1" showErrorMessage="1" errorTitle="Invalid count" error="Value must be between 0 and the current implemented total." sqref="S166" xr:uid="{00000000-0002-0000-0100-000045000000}">
      <formula1>0</formula1>
      <formula2>C92</formula2>
    </dataValidation>
    <dataValidation type="whole" allowBlank="1" showErrorMessage="1" errorTitle="Invalid count" error="Value must be between 0 and the current implemented total." sqref="U166" xr:uid="{00000000-0002-0000-0100-000046000000}">
      <formula1>0</formula1>
      <formula2>C93</formula2>
    </dataValidation>
    <dataValidation type="whole" allowBlank="1" showErrorMessage="1" errorTitle="Invalid count" error="Value must be between 0 and the current implemented total." sqref="W166" xr:uid="{00000000-0002-0000-0100-000047000000}">
      <formula1>0</formula1>
      <formula2>C94</formula2>
    </dataValidation>
    <dataValidation type="whole" allowBlank="1" showErrorMessage="1" errorTitle="Invalid overall count" error="Overall count must be between 0 and the current implemented total." sqref="Q167" xr:uid="{00000000-0002-0000-0100-000048000000}">
      <formula1>0</formula1>
      <formula2>C16</formula2>
    </dataValidation>
    <dataValidation type="whole" allowBlank="1" showErrorMessage="1" errorTitle="Invalid count" error="Value must be between 0 and the current implemented total." sqref="S167" xr:uid="{00000000-0002-0000-0100-000049000000}">
      <formula1>0</formula1>
      <formula2>C92</formula2>
    </dataValidation>
    <dataValidation type="whole" allowBlank="1" showErrorMessage="1" errorTitle="Invalid count" error="Value must be between 0 and the current implemented total." sqref="U167" xr:uid="{00000000-0002-0000-0100-00004A000000}">
      <formula1>0</formula1>
      <formula2>C93</formula2>
    </dataValidation>
    <dataValidation type="whole" allowBlank="1" showErrorMessage="1" errorTitle="Invalid count" error="Value must be between 0 and the current implemented total." sqref="W167" xr:uid="{00000000-0002-0000-0100-00004B000000}">
      <formula1>0</formula1>
      <formula2>C94</formula2>
    </dataValidation>
    <dataValidation type="whole" allowBlank="1" showErrorMessage="1" errorTitle="Invalid overall count" error="Overall count must be between 0 and the current implemented total." sqref="Q168" xr:uid="{00000000-0002-0000-0100-00004C000000}">
      <formula1>0</formula1>
      <formula2>C16</formula2>
    </dataValidation>
    <dataValidation type="whole" allowBlank="1" showErrorMessage="1" errorTitle="Invalid count" error="Value must be between 0 and the current implemented total." sqref="S168" xr:uid="{00000000-0002-0000-0100-00004D000000}">
      <formula1>0</formula1>
      <formula2>C92</formula2>
    </dataValidation>
    <dataValidation type="whole" allowBlank="1" showErrorMessage="1" errorTitle="Invalid count" error="Value must be between 0 and the current implemented total." sqref="U168" xr:uid="{00000000-0002-0000-0100-00004E000000}">
      <formula1>0</formula1>
      <formula2>C93</formula2>
    </dataValidation>
    <dataValidation type="whole" allowBlank="1" showErrorMessage="1" errorTitle="Invalid count" error="Value must be between 0 and the current implemented total." sqref="W168" xr:uid="{00000000-0002-0000-0100-00004F000000}">
      <formula1>0</formula1>
      <formula2>C94</formula2>
    </dataValidation>
    <dataValidation type="whole" allowBlank="1" showErrorMessage="1" errorTitle="Invalid overall count" error="Overall count must be between 0 and the current implemented total." sqref="Q169" xr:uid="{00000000-0002-0000-0100-000050000000}">
      <formula1>0</formula1>
      <formula2>C16</formula2>
    </dataValidation>
    <dataValidation type="whole" allowBlank="1" showErrorMessage="1" errorTitle="Invalid count" error="Value must be between 0 and the current implemented total." sqref="S169" xr:uid="{00000000-0002-0000-0100-000051000000}">
      <formula1>0</formula1>
      <formula2>C92</formula2>
    </dataValidation>
    <dataValidation type="whole" allowBlank="1" showErrorMessage="1" errorTitle="Invalid count" error="Value must be between 0 and the current implemented total." sqref="U169" xr:uid="{00000000-0002-0000-0100-000052000000}">
      <formula1>0</formula1>
      <formula2>C93</formula2>
    </dataValidation>
    <dataValidation type="whole" allowBlank="1" showErrorMessage="1" errorTitle="Invalid count" error="Value must be between 0 and the current implemented total." sqref="W169" xr:uid="{00000000-0002-0000-0100-000053000000}">
      <formula1>0</formula1>
      <formula2>C94</formula2>
    </dataValidation>
    <dataValidation type="whole" allowBlank="1" showErrorMessage="1" errorTitle="Invalid overall count" error="Overall count must be between 0 and the current implemented total." sqref="Q170" xr:uid="{00000000-0002-0000-0100-000054000000}">
      <formula1>0</formula1>
      <formula2>C16</formula2>
    </dataValidation>
    <dataValidation type="whole" allowBlank="1" showErrorMessage="1" errorTitle="Invalid count" error="Value must be between 0 and the current implemented total." sqref="S170" xr:uid="{00000000-0002-0000-0100-000055000000}">
      <formula1>0</formula1>
      <formula2>C92</formula2>
    </dataValidation>
    <dataValidation type="whole" allowBlank="1" showErrorMessage="1" errorTitle="Invalid count" error="Value must be between 0 and the current implemented total." sqref="U170" xr:uid="{00000000-0002-0000-0100-000056000000}">
      <formula1>0</formula1>
      <formula2>C93</formula2>
    </dataValidation>
    <dataValidation type="whole" allowBlank="1" showErrorMessage="1" errorTitle="Invalid count" error="Value must be between 0 and the current implemented total." sqref="W170" xr:uid="{00000000-0002-0000-0100-000057000000}">
      <formula1>0</formula1>
      <formula2>C94</formula2>
    </dataValidation>
    <dataValidation type="whole" allowBlank="1" showErrorMessage="1" errorTitle="Invalid overall count" error="Overall count must be between 0 and the current implemented total." sqref="Q171" xr:uid="{00000000-0002-0000-0100-000058000000}">
      <formula1>0</formula1>
      <formula2>C16</formula2>
    </dataValidation>
    <dataValidation type="whole" allowBlank="1" showErrorMessage="1" errorTitle="Invalid count" error="Value must be between 0 and the current implemented total." sqref="S171" xr:uid="{00000000-0002-0000-0100-000059000000}">
      <formula1>0</formula1>
      <formula2>C92</formula2>
    </dataValidation>
    <dataValidation type="whole" allowBlank="1" showErrorMessage="1" errorTitle="Invalid count" error="Value must be between 0 and the current implemented total." sqref="U171" xr:uid="{00000000-0002-0000-0100-00005A000000}">
      <formula1>0</formula1>
      <formula2>C93</formula2>
    </dataValidation>
    <dataValidation type="whole" allowBlank="1" showErrorMessage="1" errorTitle="Invalid count" error="Value must be between 0 and the current implemented total." sqref="W171" xr:uid="{00000000-0002-0000-0100-00005B000000}">
      <formula1>0</formula1>
      <formula2>C94</formula2>
    </dataValidation>
    <dataValidation type="whole" allowBlank="1" showErrorMessage="1" errorTitle="Invalid overall count" error="Overall count must be between 0 and the current implemented total." sqref="Q172" xr:uid="{00000000-0002-0000-0100-00005C000000}">
      <formula1>0</formula1>
      <formula2>C16</formula2>
    </dataValidation>
    <dataValidation type="whole" allowBlank="1" showErrorMessage="1" errorTitle="Invalid count" error="Value must be between 0 and the current implemented total." sqref="S172" xr:uid="{00000000-0002-0000-0100-00005D000000}">
      <formula1>0</formula1>
      <formula2>C92</formula2>
    </dataValidation>
    <dataValidation type="whole" allowBlank="1" showErrorMessage="1" errorTitle="Invalid count" error="Value must be between 0 and the current implemented total." sqref="U172" xr:uid="{00000000-0002-0000-0100-00005E000000}">
      <formula1>0</formula1>
      <formula2>C93</formula2>
    </dataValidation>
    <dataValidation type="whole" allowBlank="1" showErrorMessage="1" errorTitle="Invalid count" error="Value must be between 0 and the current implemented total." sqref="W172" xr:uid="{00000000-0002-0000-0100-00005F000000}">
      <formula1>0</formula1>
      <formula2>C94</formula2>
    </dataValidation>
    <dataValidation type="whole" allowBlank="1" showErrorMessage="1" errorTitle="Invalid overall count" error="Overall count must be between 0 and the current implemented total." sqref="Q173" xr:uid="{00000000-0002-0000-0100-000060000000}">
      <formula1>0</formula1>
      <formula2>C16</formula2>
    </dataValidation>
    <dataValidation type="whole" allowBlank="1" showErrorMessage="1" errorTitle="Invalid count" error="Value must be between 0 and the current implemented total." sqref="S173" xr:uid="{00000000-0002-0000-0100-000061000000}">
      <formula1>0</formula1>
      <formula2>C92</formula2>
    </dataValidation>
    <dataValidation type="whole" allowBlank="1" showErrorMessage="1" errorTitle="Invalid count" error="Value must be between 0 and the current implemented total." sqref="U173" xr:uid="{00000000-0002-0000-0100-000062000000}">
      <formula1>0</formula1>
      <formula2>C93</formula2>
    </dataValidation>
    <dataValidation type="whole" allowBlank="1" showErrorMessage="1" errorTitle="Invalid count" error="Value must be between 0 and the current implemented total." sqref="W173" xr:uid="{00000000-0002-0000-0100-000063000000}">
      <formula1>0</formula1>
      <formula2>C94</formula2>
    </dataValidation>
    <dataValidation type="whole" allowBlank="1" showErrorMessage="1" errorTitle="Invalid overall count" error="Overall count must be between 0 and the current implemented total." sqref="Q174" xr:uid="{00000000-0002-0000-0100-000064000000}">
      <formula1>0</formula1>
      <formula2>C16</formula2>
    </dataValidation>
    <dataValidation type="whole" allowBlank="1" showErrorMessage="1" errorTitle="Invalid count" error="Value must be between 0 and the current implemented total." sqref="S174" xr:uid="{00000000-0002-0000-0100-000065000000}">
      <formula1>0</formula1>
      <formula2>C92</formula2>
    </dataValidation>
    <dataValidation type="whole" allowBlank="1" showErrorMessage="1" errorTitle="Invalid count" error="Value must be between 0 and the current implemented total." sqref="U174" xr:uid="{00000000-0002-0000-0100-000066000000}">
      <formula1>0</formula1>
      <formula2>C93</formula2>
    </dataValidation>
    <dataValidation type="whole" allowBlank="1" showErrorMessage="1" errorTitle="Invalid count" error="Value must be between 0 and the current implemented total." sqref="W174" xr:uid="{00000000-0002-0000-0100-000067000000}">
      <formula1>0</formula1>
      <formula2>C94</formula2>
    </dataValidation>
    <dataValidation type="whole" allowBlank="1" showErrorMessage="1" errorTitle="Invalid overall count" error="Overall count must be between 0 and the current implemented total." sqref="Q175" xr:uid="{00000000-0002-0000-0100-000068000000}">
      <formula1>0</formula1>
      <formula2>C16</formula2>
    </dataValidation>
    <dataValidation type="whole" allowBlank="1" showErrorMessage="1" errorTitle="Invalid count" error="Value must be between 0 and the current implemented total." sqref="S175" xr:uid="{00000000-0002-0000-0100-000069000000}">
      <formula1>0</formula1>
      <formula2>C92</formula2>
    </dataValidation>
    <dataValidation type="whole" allowBlank="1" showErrorMessage="1" errorTitle="Invalid count" error="Value must be between 0 and the current implemented total." sqref="U175" xr:uid="{00000000-0002-0000-0100-00006A000000}">
      <formula1>0</formula1>
      <formula2>C93</formula2>
    </dataValidation>
    <dataValidation type="whole" allowBlank="1" showErrorMessage="1" errorTitle="Invalid count" error="Value must be between 0 and the current implemented total." sqref="W175" xr:uid="{00000000-0002-0000-0100-00006B000000}">
      <formula1>0</formula1>
      <formula2>C94</formula2>
    </dataValidation>
    <dataValidation type="whole" allowBlank="1" showErrorMessage="1" errorTitle="Invalid overall count" error="Overall count must be between 0 and the current implemented total." sqref="Q176" xr:uid="{00000000-0002-0000-0100-00006C000000}">
      <formula1>0</formula1>
      <formula2>C16</formula2>
    </dataValidation>
    <dataValidation type="whole" allowBlank="1" showErrorMessage="1" errorTitle="Invalid count" error="Value must be between 0 and the current implemented total." sqref="S176" xr:uid="{00000000-0002-0000-0100-00006D000000}">
      <formula1>0</formula1>
      <formula2>C92</formula2>
    </dataValidation>
    <dataValidation type="whole" allowBlank="1" showErrorMessage="1" errorTitle="Invalid count" error="Value must be between 0 and the current implemented total." sqref="U176" xr:uid="{00000000-0002-0000-0100-00006E000000}">
      <formula1>0</formula1>
      <formula2>C93</formula2>
    </dataValidation>
    <dataValidation type="whole" allowBlank="1" showErrorMessage="1" errorTitle="Invalid count" error="Value must be between 0 and the current implemented total." sqref="W176" xr:uid="{00000000-0002-0000-0100-00006F000000}">
      <formula1>0</formula1>
      <formula2>C94</formula2>
    </dataValidation>
    <dataValidation type="whole" allowBlank="1" showErrorMessage="1" errorTitle="Invalid overall count" error="Overall count must be between 0 and the current implemented total." sqref="Q177" xr:uid="{00000000-0002-0000-0100-000070000000}">
      <formula1>0</formula1>
      <formula2>C16</formula2>
    </dataValidation>
    <dataValidation type="whole" allowBlank="1" showErrorMessage="1" errorTitle="Invalid count" error="Value must be between 0 and the current implemented total." sqref="S177" xr:uid="{00000000-0002-0000-0100-000071000000}">
      <formula1>0</formula1>
      <formula2>C92</formula2>
    </dataValidation>
    <dataValidation type="whole" allowBlank="1" showErrorMessage="1" errorTitle="Invalid count" error="Value must be between 0 and the current implemented total." sqref="U177" xr:uid="{00000000-0002-0000-0100-000072000000}">
      <formula1>0</formula1>
      <formula2>C93</formula2>
    </dataValidation>
    <dataValidation type="whole" allowBlank="1" showErrorMessage="1" errorTitle="Invalid count" error="Value must be between 0 and the current implemented total." sqref="W177" xr:uid="{00000000-0002-0000-0100-000073000000}">
      <formula1>0</formula1>
      <formula2>C94</formula2>
    </dataValidation>
    <dataValidation type="whole" allowBlank="1" showErrorMessage="1" errorTitle="Invalid overall count" error="Overall count must be between 0 and the current implemented total." sqref="Q178" xr:uid="{00000000-0002-0000-0100-000074000000}">
      <formula1>0</formula1>
      <formula2>C16</formula2>
    </dataValidation>
    <dataValidation type="whole" allowBlank="1" showErrorMessage="1" errorTitle="Invalid count" error="Value must be between 0 and the current implemented total." sqref="S178" xr:uid="{00000000-0002-0000-0100-000075000000}">
      <formula1>0</formula1>
      <formula2>C92</formula2>
    </dataValidation>
    <dataValidation type="whole" allowBlank="1" showErrorMessage="1" errorTitle="Invalid count" error="Value must be between 0 and the current implemented total." sqref="U178" xr:uid="{00000000-0002-0000-0100-000076000000}">
      <formula1>0</formula1>
      <formula2>C93</formula2>
    </dataValidation>
    <dataValidation type="whole" allowBlank="1" showErrorMessage="1" errorTitle="Invalid count" error="Value must be between 0 and the current implemented total." sqref="W178" xr:uid="{00000000-0002-0000-0100-000077000000}">
      <formula1>0</formula1>
      <formula2>C94</formula2>
    </dataValidation>
    <dataValidation type="whole" allowBlank="1" showErrorMessage="1" errorTitle="Invalid Asset Count" error="Value must be between 0 and the Total Asset Numbers above." sqref="Q191" xr:uid="{00000000-0002-0000-0100-000078000000}">
      <formula1>0</formula1>
      <formula2>$P187</formula2>
    </dataValidation>
    <dataValidation type="whole" allowBlank="1" showErrorMessage="1" errorTitle="Invalid Asset Count" error="Value must be between 0 and the Total Asset Numbers above." sqref="Q192" xr:uid="{00000000-0002-0000-0100-000079000000}">
      <formula1>0</formula1>
      <formula2>$P187</formula2>
    </dataValidation>
    <dataValidation type="whole" allowBlank="1" showErrorMessage="1" errorTitle="Invalid Asset Count" error="Value must be between 0 and the Total Asset Numbers above." sqref="Q193" xr:uid="{00000000-0002-0000-0100-00007A000000}">
      <formula1>0</formula1>
      <formula2>$P187</formula2>
    </dataValidation>
    <dataValidation type="whole" allowBlank="1" showErrorMessage="1" errorTitle="Invalid Asset Count" error="Value must be between 0 and the Total Asset Numbers above." sqref="Q194" xr:uid="{00000000-0002-0000-0100-00007B000000}">
      <formula1>0</formula1>
      <formula2>$P187</formula2>
    </dataValidation>
    <dataValidation type="whole" allowBlank="1" showErrorMessage="1" errorTitle="Invalid Asset Count" error="Value must be between 0 and the Total Asset Numbers above." sqref="Q195" xr:uid="{00000000-0002-0000-0100-00007C000000}">
      <formula1>0</formula1>
      <formula2>$P187</formula2>
    </dataValidation>
    <dataValidation type="whole" allowBlank="1" showErrorMessage="1" errorTitle="Invalid Asset Count" error="Value must be between 0 and the Total Asset Numbers above." sqref="Q196" xr:uid="{00000000-0002-0000-0100-00007D000000}">
      <formula1>0</formula1>
      <formula2>$P187</formula2>
    </dataValidation>
    <dataValidation type="whole" allowBlank="1" showErrorMessage="1" errorTitle="Invalid Asset Count" error="Value must be between 0 and the Total Asset Numbers above." sqref="Q197" xr:uid="{00000000-0002-0000-0100-00007E000000}">
      <formula1>0</formula1>
      <formula2>$P187</formula2>
    </dataValidation>
    <dataValidation type="whole" allowBlank="1" showErrorMessage="1" errorTitle="Invalid Asset Count" error="Value must be between 0 and the Total Asset Numbers above." sqref="Q198" xr:uid="{00000000-0002-0000-0100-00007F000000}">
      <formula1>0</formula1>
      <formula2>$P187</formula2>
    </dataValidation>
    <dataValidation type="whole" allowBlank="1" showErrorMessage="1" errorTitle="Invalid Asset Count" error="Value must be between 0 and the Total Asset Numbers above." sqref="Q199" xr:uid="{00000000-0002-0000-0100-000080000000}">
      <formula1>0</formula1>
      <formula2>$P187</formula2>
    </dataValidation>
    <dataValidation type="whole" allowBlank="1" showErrorMessage="1" errorTitle="Invalid Asset Count" error="Value must be between 0 and the Total Asset Numbers above." sqref="Q200" xr:uid="{00000000-0002-0000-0100-000081000000}">
      <formula1>0</formula1>
      <formula2>$P187</formula2>
    </dataValidation>
    <dataValidation type="whole" allowBlank="1" showErrorMessage="1" errorTitle="Invalid Asset Count" error="Value must be between 0 and the Total Asset Numbers above." sqref="Q201" xr:uid="{00000000-0002-0000-0100-000082000000}">
      <formula1>0</formula1>
      <formula2>$P187</formula2>
    </dataValidation>
    <dataValidation type="whole" allowBlank="1" showErrorMessage="1" errorTitle="Invalid Asset Count" error="Value must be between 0 and the Total Asset Numbers above." sqref="Q202" xr:uid="{00000000-0002-0000-0100-000083000000}">
      <formula1>0</formula1>
      <formula2>$P187</formula2>
    </dataValidation>
    <dataValidation type="whole" allowBlank="1" showErrorMessage="1" errorTitle="Invalid Asset Count" error="Value must be between 0 and the Total Asset Numbers above." sqref="Q203" xr:uid="{00000000-0002-0000-0100-000084000000}">
      <formula1>0</formula1>
      <formula2>$P187</formula2>
    </dataValidation>
    <dataValidation type="whole" allowBlank="1" showErrorMessage="1" errorTitle="Invalid Asset Count" error="Value must be between 0 and the Total Asset Numbers above." sqref="Q204" xr:uid="{00000000-0002-0000-0100-000085000000}">
      <formula1>0</formula1>
      <formula2>$P187</formula2>
    </dataValidation>
    <dataValidation type="whole" allowBlank="1" showErrorMessage="1" errorTitle="Invalid Asset Count" error="Value must be between 0 and the Total Asset Numbers above." sqref="Q205" xr:uid="{00000000-0002-0000-0100-000086000000}">
      <formula1>0</formula1>
      <formula2>$P187</formula2>
    </dataValidation>
    <dataValidation type="whole" allowBlank="1" showErrorMessage="1" errorTitle="Invalid Asset Count" error="Value must be between 0 and the Total Asset Numbers above." sqref="Q206" xr:uid="{00000000-0002-0000-0100-000087000000}">
      <formula1>0</formula1>
      <formula2>$P187</formula2>
    </dataValidation>
    <dataValidation type="whole" allowBlank="1" showErrorMessage="1" errorTitle="Invalid Asset Count" error="Value must be between 0 and the Total Asset Numbers above." sqref="Q207" xr:uid="{00000000-0002-0000-0100-000088000000}">
      <formula1>0</formula1>
      <formula2>$P187</formula2>
    </dataValidation>
    <dataValidation type="whole" allowBlank="1" showErrorMessage="1" errorTitle="Invalid Asset Count" error="Value must be between 0 and the Total Asset Numbers above." sqref="Q208" xr:uid="{00000000-0002-0000-0100-000089000000}">
      <formula1>0</formula1>
      <formula2>$P187</formula2>
    </dataValidation>
    <dataValidation type="whole" allowBlank="1" showErrorMessage="1" errorTitle="Invalid Asset Count" error="Value must be between 0 and the Total Asset Numbers above." sqref="Q209" xr:uid="{00000000-0002-0000-0100-00008A000000}">
      <formula1>0</formula1>
      <formula2>$P187</formula2>
    </dataValidation>
    <dataValidation type="whole" allowBlank="1" showErrorMessage="1" errorTitle="Invalid Asset Count" error="Value must be between 0 and the Total Asset Numbers above." sqref="Q210" xr:uid="{00000000-0002-0000-0100-00008B000000}">
      <formula1>0</formula1>
      <formula2>$P187</formula2>
    </dataValidation>
  </dataValidations>
  <hyperlinks>
    <hyperlink ref="B21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8"/>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4"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16</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27</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27</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16</v>
      </c>
      <c r="D13" s="3" t="s">
        <v>17</v>
      </c>
      <c r="E13" s="4" t="s">
        <v>18</v>
      </c>
      <c r="F13" s="4" t="s">
        <v>19</v>
      </c>
      <c r="G13" s="4" t="s">
        <v>20</v>
      </c>
      <c r="H13" s="4" t="s">
        <v>21</v>
      </c>
      <c r="I13" s="5" t="s">
        <v>21</v>
      </c>
      <c r="J13" s="1" t="s">
        <v>78</v>
      </c>
      <c r="K13" s="1" t="s">
        <v>74</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74</v>
      </c>
      <c r="L14" s="1" t="s">
        <v>83</v>
      </c>
      <c r="M14" s="4" t="str">
        <f t="shared" si="0"/>
        <v>Outstanding</v>
      </c>
      <c r="N14" s="13" t="s">
        <v>21</v>
      </c>
    </row>
    <row r="15" spans="1:14" ht="60" customHeight="1" x14ac:dyDescent="0.35">
      <c r="A15" s="11" t="s">
        <v>84</v>
      </c>
      <c r="B15" s="1" t="s">
        <v>85</v>
      </c>
      <c r="C15" s="2" t="s">
        <v>16</v>
      </c>
      <c r="D15" s="3" t="s">
        <v>17</v>
      </c>
      <c r="E15" s="4" t="s">
        <v>18</v>
      </c>
      <c r="F15" s="4" t="s">
        <v>19</v>
      </c>
      <c r="G15" s="4" t="s">
        <v>20</v>
      </c>
      <c r="H15" s="4" t="s">
        <v>21</v>
      </c>
      <c r="I15" s="5" t="s">
        <v>21</v>
      </c>
      <c r="J15" s="1" t="s">
        <v>86</v>
      </c>
      <c r="K15" s="1" t="s">
        <v>87</v>
      </c>
      <c r="L15" s="1" t="s">
        <v>88</v>
      </c>
      <c r="M15" s="4" t="str">
        <f t="shared" si="0"/>
        <v>Outstanding</v>
      </c>
      <c r="N15" s="13" t="s">
        <v>21</v>
      </c>
    </row>
    <row r="16" spans="1:14" ht="60" customHeight="1" x14ac:dyDescent="0.35">
      <c r="A16" s="11" t="s">
        <v>89</v>
      </c>
      <c r="B16" s="1" t="s">
        <v>90</v>
      </c>
      <c r="C16" s="2" t="s">
        <v>27</v>
      </c>
      <c r="D16" s="3" t="s">
        <v>17</v>
      </c>
      <c r="E16" s="4" t="s">
        <v>18</v>
      </c>
      <c r="F16" s="4" t="s">
        <v>19</v>
      </c>
      <c r="G16" s="4" t="s">
        <v>20</v>
      </c>
      <c r="H16" s="4" t="s">
        <v>21</v>
      </c>
      <c r="I16" s="5" t="s">
        <v>21</v>
      </c>
      <c r="J16" s="1" t="s">
        <v>91</v>
      </c>
      <c r="K16" s="1" t="s">
        <v>92</v>
      </c>
      <c r="L16" s="1" t="s">
        <v>93</v>
      </c>
      <c r="M16" s="4" t="str">
        <f t="shared" si="0"/>
        <v>Outstanding</v>
      </c>
      <c r="N16" s="13" t="s">
        <v>21</v>
      </c>
    </row>
    <row r="17" spans="1:14" ht="60" customHeight="1" x14ac:dyDescent="0.35">
      <c r="A17" s="11" t="s">
        <v>94</v>
      </c>
      <c r="B17" s="1" t="s">
        <v>95</v>
      </c>
      <c r="C17" s="2" t="s">
        <v>16</v>
      </c>
      <c r="D17" s="3" t="s">
        <v>17</v>
      </c>
      <c r="E17" s="4" t="s">
        <v>18</v>
      </c>
      <c r="F17" s="4" t="s">
        <v>19</v>
      </c>
      <c r="G17" s="4" t="s">
        <v>20</v>
      </c>
      <c r="H17" s="4" t="s">
        <v>21</v>
      </c>
      <c r="I17" s="5" t="s">
        <v>21</v>
      </c>
      <c r="J17" s="1" t="s">
        <v>96</v>
      </c>
      <c r="K17" s="1" t="s">
        <v>97</v>
      </c>
      <c r="L17" s="1" t="s">
        <v>98</v>
      </c>
      <c r="M17" s="4" t="str">
        <f t="shared" si="0"/>
        <v>Outstanding</v>
      </c>
      <c r="N17" s="13" t="s">
        <v>21</v>
      </c>
    </row>
    <row r="18" spans="1:14" ht="60" customHeight="1" x14ac:dyDescent="0.35">
      <c r="A18" s="11" t="s">
        <v>99</v>
      </c>
      <c r="B18" s="1" t="s">
        <v>100</v>
      </c>
      <c r="C18" s="2" t="s">
        <v>16</v>
      </c>
      <c r="D18" s="3" t="s">
        <v>17</v>
      </c>
      <c r="E18" s="4" t="s">
        <v>18</v>
      </c>
      <c r="F18" s="4" t="s">
        <v>19</v>
      </c>
      <c r="G18" s="4" t="s">
        <v>20</v>
      </c>
      <c r="H18" s="4" t="s">
        <v>21</v>
      </c>
      <c r="I18" s="5" t="s">
        <v>21</v>
      </c>
      <c r="J18" s="1" t="s">
        <v>101</v>
      </c>
      <c r="K18" s="1" t="s">
        <v>102</v>
      </c>
      <c r="L18" s="1" t="s">
        <v>103</v>
      </c>
      <c r="M18" s="4" t="str">
        <f t="shared" si="0"/>
        <v>Outstanding</v>
      </c>
      <c r="N18" s="13" t="s">
        <v>21</v>
      </c>
    </row>
    <row r="19" spans="1:14" ht="60" customHeight="1" x14ac:dyDescent="0.35">
      <c r="A19" s="11" t="s">
        <v>104</v>
      </c>
      <c r="B19" s="1" t="s">
        <v>105</v>
      </c>
      <c r="C19" s="2" t="s">
        <v>16</v>
      </c>
      <c r="D19" s="3" t="s">
        <v>17</v>
      </c>
      <c r="E19" s="4" t="s">
        <v>18</v>
      </c>
      <c r="F19" s="4" t="s">
        <v>19</v>
      </c>
      <c r="G19" s="4" t="s">
        <v>20</v>
      </c>
      <c r="H19" s="4" t="s">
        <v>21</v>
      </c>
      <c r="I19" s="5" t="s">
        <v>21</v>
      </c>
      <c r="J19" s="1" t="s">
        <v>106</v>
      </c>
      <c r="K19" s="1" t="s">
        <v>107</v>
      </c>
      <c r="L19" s="1" t="s">
        <v>108</v>
      </c>
      <c r="M19" s="4" t="str">
        <f t="shared" si="0"/>
        <v>Outstanding</v>
      </c>
      <c r="N19" s="13" t="s">
        <v>21</v>
      </c>
    </row>
    <row r="20" spans="1:14" ht="60" customHeight="1" x14ac:dyDescent="0.35">
      <c r="A20" s="11" t="s">
        <v>109</v>
      </c>
      <c r="B20" s="1" t="s">
        <v>110</v>
      </c>
      <c r="C20" s="2" t="s">
        <v>27</v>
      </c>
      <c r="D20" s="3" t="s">
        <v>17</v>
      </c>
      <c r="E20" s="4" t="s">
        <v>18</v>
      </c>
      <c r="F20" s="4" t="s">
        <v>19</v>
      </c>
      <c r="G20" s="4" t="s">
        <v>20</v>
      </c>
      <c r="H20" s="4" t="s">
        <v>21</v>
      </c>
      <c r="I20" s="5" t="s">
        <v>21</v>
      </c>
      <c r="J20" s="1" t="s">
        <v>111</v>
      </c>
      <c r="K20" s="1" t="s">
        <v>112</v>
      </c>
      <c r="L20" s="1" t="s">
        <v>113</v>
      </c>
      <c r="M20" s="4" t="str">
        <f t="shared" si="0"/>
        <v>Outstanding</v>
      </c>
      <c r="N20" s="13" t="s">
        <v>21</v>
      </c>
    </row>
    <row r="21" spans="1:14" ht="60" customHeight="1" x14ac:dyDescent="0.35">
      <c r="A21" s="11" t="s">
        <v>114</v>
      </c>
      <c r="B21" s="1" t="s">
        <v>115</v>
      </c>
      <c r="C21" s="2" t="s">
        <v>116</v>
      </c>
      <c r="D21" s="3" t="s">
        <v>17</v>
      </c>
      <c r="E21" s="4" t="s">
        <v>18</v>
      </c>
      <c r="F21" s="4" t="s">
        <v>19</v>
      </c>
      <c r="G21" s="4" t="s">
        <v>20</v>
      </c>
      <c r="H21" s="4" t="s">
        <v>21</v>
      </c>
      <c r="I21" s="5" t="s">
        <v>21</v>
      </c>
      <c r="J21" s="1" t="s">
        <v>117</v>
      </c>
      <c r="K21" s="1" t="s">
        <v>118</v>
      </c>
      <c r="L21" s="1" t="s">
        <v>119</v>
      </c>
      <c r="M21" s="4" t="str">
        <f t="shared" si="0"/>
        <v>Outstanding</v>
      </c>
      <c r="N21" s="13" t="s">
        <v>21</v>
      </c>
    </row>
    <row r="22" spans="1:14" ht="60" customHeight="1" x14ac:dyDescent="0.35">
      <c r="A22" s="11" t="s">
        <v>120</v>
      </c>
      <c r="B22" s="1" t="s">
        <v>121</v>
      </c>
      <c r="C22" s="2" t="s">
        <v>16</v>
      </c>
      <c r="D22" s="3" t="s">
        <v>17</v>
      </c>
      <c r="E22" s="4" t="s">
        <v>18</v>
      </c>
      <c r="F22" s="4" t="s">
        <v>19</v>
      </c>
      <c r="G22" s="4" t="s">
        <v>20</v>
      </c>
      <c r="H22" s="4" t="s">
        <v>21</v>
      </c>
      <c r="I22" s="5" t="s">
        <v>21</v>
      </c>
      <c r="J22" s="1" t="s">
        <v>122</v>
      </c>
      <c r="K22" s="1" t="s">
        <v>123</v>
      </c>
      <c r="L22" s="1" t="s">
        <v>124</v>
      </c>
      <c r="M22" s="4" t="str">
        <f t="shared" si="0"/>
        <v>Outstanding</v>
      </c>
      <c r="N22" s="13" t="s">
        <v>21</v>
      </c>
    </row>
    <row r="23" spans="1:14" ht="60" customHeight="1" x14ac:dyDescent="0.35">
      <c r="A23" s="11" t="s">
        <v>125</v>
      </c>
      <c r="B23" s="1" t="s">
        <v>126</v>
      </c>
      <c r="C23" s="2" t="s">
        <v>16</v>
      </c>
      <c r="D23" s="3" t="s">
        <v>17</v>
      </c>
      <c r="E23" s="4" t="s">
        <v>18</v>
      </c>
      <c r="F23" s="4" t="s">
        <v>19</v>
      </c>
      <c r="G23" s="4" t="s">
        <v>20</v>
      </c>
      <c r="H23" s="4" t="s">
        <v>21</v>
      </c>
      <c r="I23" s="5" t="s">
        <v>21</v>
      </c>
      <c r="J23" s="1" t="s">
        <v>127</v>
      </c>
      <c r="K23" s="1" t="s">
        <v>128</v>
      </c>
      <c r="L23" s="1" t="s">
        <v>129</v>
      </c>
      <c r="M23" s="4" t="str">
        <f t="shared" si="0"/>
        <v>Outstanding</v>
      </c>
      <c r="N23" s="13" t="s">
        <v>21</v>
      </c>
    </row>
    <row r="24" spans="1:14" ht="60" customHeight="1" x14ac:dyDescent="0.35">
      <c r="A24" s="11" t="s">
        <v>130</v>
      </c>
      <c r="B24" s="1" t="s">
        <v>131</v>
      </c>
      <c r="C24" s="2" t="s">
        <v>27</v>
      </c>
      <c r="D24" s="3" t="s">
        <v>17</v>
      </c>
      <c r="E24" s="4" t="s">
        <v>18</v>
      </c>
      <c r="F24" s="4" t="s">
        <v>19</v>
      </c>
      <c r="G24" s="4" t="s">
        <v>20</v>
      </c>
      <c r="H24" s="4" t="s">
        <v>21</v>
      </c>
      <c r="I24" s="5" t="s">
        <v>21</v>
      </c>
      <c r="J24" s="1" t="s">
        <v>132</v>
      </c>
      <c r="K24" s="1" t="s">
        <v>133</v>
      </c>
      <c r="L24" s="1" t="s">
        <v>134</v>
      </c>
      <c r="M24" s="4" t="str">
        <f t="shared" si="0"/>
        <v>Outstanding</v>
      </c>
      <c r="N24" s="13" t="s">
        <v>21</v>
      </c>
    </row>
    <row r="25" spans="1:14" ht="60" customHeight="1" x14ac:dyDescent="0.35">
      <c r="A25" s="11" t="s">
        <v>135</v>
      </c>
      <c r="B25" s="1" t="s">
        <v>136</v>
      </c>
      <c r="C25" s="2" t="s">
        <v>16</v>
      </c>
      <c r="D25" s="3" t="s">
        <v>17</v>
      </c>
      <c r="E25" s="4" t="s">
        <v>18</v>
      </c>
      <c r="F25" s="4" t="s">
        <v>19</v>
      </c>
      <c r="G25" s="4" t="s">
        <v>20</v>
      </c>
      <c r="H25" s="4" t="s">
        <v>21</v>
      </c>
      <c r="I25" s="5" t="s">
        <v>21</v>
      </c>
      <c r="J25" s="1" t="s">
        <v>137</v>
      </c>
      <c r="K25" s="1" t="s">
        <v>138</v>
      </c>
      <c r="L25" s="1" t="s">
        <v>139</v>
      </c>
      <c r="M25" s="4" t="str">
        <f t="shared" si="0"/>
        <v>Outstanding</v>
      </c>
      <c r="N25" s="13" t="s">
        <v>21</v>
      </c>
    </row>
    <row r="26" spans="1:14" ht="60" customHeight="1" x14ac:dyDescent="0.35">
      <c r="A26" s="11" t="s">
        <v>140</v>
      </c>
      <c r="B26" s="1" t="s">
        <v>141</v>
      </c>
      <c r="C26" s="2" t="s">
        <v>16</v>
      </c>
      <c r="D26" s="3" t="s">
        <v>17</v>
      </c>
      <c r="E26" s="4" t="s">
        <v>18</v>
      </c>
      <c r="F26" s="4" t="s">
        <v>19</v>
      </c>
      <c r="G26" s="4" t="s">
        <v>20</v>
      </c>
      <c r="H26" s="4" t="s">
        <v>21</v>
      </c>
      <c r="I26" s="5" t="s">
        <v>21</v>
      </c>
      <c r="J26" s="1" t="s">
        <v>142</v>
      </c>
      <c r="K26" s="1" t="s">
        <v>143</v>
      </c>
      <c r="L26" s="1" t="s">
        <v>144</v>
      </c>
      <c r="M26" s="4" t="str">
        <f t="shared" si="0"/>
        <v>Outstanding</v>
      </c>
      <c r="N26" s="13" t="s">
        <v>21</v>
      </c>
    </row>
    <row r="27" spans="1:14" ht="60" customHeight="1" x14ac:dyDescent="0.35">
      <c r="A27" s="11" t="s">
        <v>145</v>
      </c>
      <c r="B27" s="1" t="s">
        <v>146</v>
      </c>
      <c r="C27" s="2" t="s">
        <v>16</v>
      </c>
      <c r="D27" s="3" t="s">
        <v>17</v>
      </c>
      <c r="E27" s="4" t="s">
        <v>18</v>
      </c>
      <c r="F27" s="4" t="s">
        <v>19</v>
      </c>
      <c r="G27" s="4" t="s">
        <v>20</v>
      </c>
      <c r="H27" s="4" t="s">
        <v>21</v>
      </c>
      <c r="I27" s="5" t="s">
        <v>21</v>
      </c>
      <c r="J27" s="1" t="s">
        <v>147</v>
      </c>
      <c r="K27" s="1" t="s">
        <v>148</v>
      </c>
      <c r="L27" s="1" t="s">
        <v>149</v>
      </c>
      <c r="M27" s="4" t="str">
        <f t="shared" si="0"/>
        <v>Outstanding</v>
      </c>
      <c r="N27" s="13" t="s">
        <v>21</v>
      </c>
    </row>
    <row r="28" spans="1:14" ht="60" customHeight="1" x14ac:dyDescent="0.35">
      <c r="A28" s="11" t="s">
        <v>150</v>
      </c>
      <c r="B28" s="1" t="s">
        <v>151</v>
      </c>
      <c r="C28" s="2" t="s">
        <v>16</v>
      </c>
      <c r="D28" s="3" t="s">
        <v>17</v>
      </c>
      <c r="E28" s="4" t="s">
        <v>18</v>
      </c>
      <c r="F28" s="4" t="s">
        <v>19</v>
      </c>
      <c r="G28" s="4" t="s">
        <v>20</v>
      </c>
      <c r="H28" s="4" t="s">
        <v>21</v>
      </c>
      <c r="I28" s="5" t="s">
        <v>21</v>
      </c>
      <c r="J28" s="1" t="s">
        <v>152</v>
      </c>
      <c r="K28" s="1" t="s">
        <v>153</v>
      </c>
      <c r="L28" s="1" t="s">
        <v>154</v>
      </c>
      <c r="M28" s="4" t="str">
        <f t="shared" si="0"/>
        <v>Outstanding</v>
      </c>
      <c r="N28" s="13" t="s">
        <v>21</v>
      </c>
    </row>
    <row r="29" spans="1:14" ht="60" customHeight="1" x14ac:dyDescent="0.35">
      <c r="A29" s="11" t="s">
        <v>155</v>
      </c>
      <c r="B29" s="1" t="s">
        <v>156</v>
      </c>
      <c r="C29" s="2" t="s">
        <v>16</v>
      </c>
      <c r="D29" s="3" t="s">
        <v>17</v>
      </c>
      <c r="E29" s="4" t="s">
        <v>18</v>
      </c>
      <c r="F29" s="4" t="s">
        <v>19</v>
      </c>
      <c r="G29" s="4" t="s">
        <v>20</v>
      </c>
      <c r="H29" s="4" t="s">
        <v>21</v>
      </c>
      <c r="I29" s="5" t="s">
        <v>21</v>
      </c>
      <c r="J29" s="1" t="s">
        <v>157</v>
      </c>
      <c r="K29" s="1" t="s">
        <v>158</v>
      </c>
      <c r="L29" s="1" t="s">
        <v>159</v>
      </c>
      <c r="M29" s="4" t="str">
        <f t="shared" si="0"/>
        <v>Outstanding</v>
      </c>
      <c r="N29" s="13" t="s">
        <v>21</v>
      </c>
    </row>
    <row r="30" spans="1:14" ht="60" customHeight="1" x14ac:dyDescent="0.35">
      <c r="A30" s="11" t="s">
        <v>160</v>
      </c>
      <c r="B30" s="1" t="s">
        <v>161</v>
      </c>
      <c r="C30" s="2" t="s">
        <v>16</v>
      </c>
      <c r="D30" s="3" t="s">
        <v>162</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27</v>
      </c>
      <c r="D31" s="3" t="s">
        <v>162</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16</v>
      </c>
      <c r="D32" s="3" t="s">
        <v>162</v>
      </c>
      <c r="E32" s="4" t="s">
        <v>18</v>
      </c>
      <c r="F32" s="4" t="s">
        <v>19</v>
      </c>
      <c r="G32" s="4" t="s">
        <v>20</v>
      </c>
      <c r="H32" s="4" t="s">
        <v>21</v>
      </c>
      <c r="I32" s="5" t="s">
        <v>21</v>
      </c>
      <c r="J32" s="1" t="s">
        <v>173</v>
      </c>
      <c r="K32" s="1" t="s">
        <v>174</v>
      </c>
      <c r="L32" s="1" t="s">
        <v>175</v>
      </c>
      <c r="M32" s="4" t="str">
        <f t="shared" si="0"/>
        <v>Outstanding</v>
      </c>
      <c r="N32" s="13" t="s">
        <v>21</v>
      </c>
    </row>
    <row r="33" spans="1:14" ht="60" customHeight="1" x14ac:dyDescent="0.35">
      <c r="A33" s="11" t="s">
        <v>176</v>
      </c>
      <c r="B33" s="1" t="s">
        <v>177</v>
      </c>
      <c r="C33" s="2" t="s">
        <v>16</v>
      </c>
      <c r="D33" s="3" t="s">
        <v>162</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27</v>
      </c>
      <c r="D34" s="3" t="s">
        <v>183</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27</v>
      </c>
      <c r="D35" s="3" t="s">
        <v>183</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116</v>
      </c>
      <c r="D36" s="3" t="s">
        <v>183</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27</v>
      </c>
      <c r="D37" s="3" t="s">
        <v>183</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27</v>
      </c>
      <c r="D38" s="3" t="s">
        <v>183</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27</v>
      </c>
      <c r="D39" s="3" t="s">
        <v>183</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213</v>
      </c>
      <c r="C40" s="2" t="s">
        <v>16</v>
      </c>
      <c r="D40" s="3" t="s">
        <v>183</v>
      </c>
      <c r="E40" s="4" t="s">
        <v>18</v>
      </c>
      <c r="F40" s="4" t="s">
        <v>19</v>
      </c>
      <c r="G40" s="4" t="s">
        <v>20</v>
      </c>
      <c r="H40" s="4" t="s">
        <v>21</v>
      </c>
      <c r="I40" s="5" t="s">
        <v>21</v>
      </c>
      <c r="J40" s="1" t="s">
        <v>214</v>
      </c>
      <c r="K40" s="1" t="s">
        <v>215</v>
      </c>
      <c r="L40" s="1" t="s">
        <v>216</v>
      </c>
      <c r="M40" s="4" t="str">
        <f t="shared" si="0"/>
        <v>Outstanding</v>
      </c>
      <c r="N40" s="13" t="s">
        <v>21</v>
      </c>
    </row>
    <row r="41" spans="1:14" ht="60" customHeight="1" x14ac:dyDescent="0.35">
      <c r="A41" s="11" t="s">
        <v>217</v>
      </c>
      <c r="B41" s="1" t="s">
        <v>218</v>
      </c>
      <c r="C41" s="2" t="s">
        <v>16</v>
      </c>
      <c r="D41" s="3" t="s">
        <v>183</v>
      </c>
      <c r="E41" s="4" t="s">
        <v>18</v>
      </c>
      <c r="F41" s="4" t="s">
        <v>19</v>
      </c>
      <c r="G41" s="4" t="s">
        <v>20</v>
      </c>
      <c r="H41" s="4" t="s">
        <v>21</v>
      </c>
      <c r="I41" s="5" t="s">
        <v>21</v>
      </c>
      <c r="J41" s="1" t="s">
        <v>219</v>
      </c>
      <c r="K41" s="1" t="s">
        <v>220</v>
      </c>
      <c r="L41" s="1" t="s">
        <v>221</v>
      </c>
      <c r="M41" s="4" t="str">
        <f t="shared" si="0"/>
        <v>Outstanding</v>
      </c>
      <c r="N41" s="13" t="s">
        <v>21</v>
      </c>
    </row>
    <row r="42" spans="1:14" ht="60" customHeight="1" x14ac:dyDescent="0.35">
      <c r="A42" s="11" t="s">
        <v>222</v>
      </c>
      <c r="B42" s="1" t="s">
        <v>223</v>
      </c>
      <c r="C42" s="2" t="s">
        <v>16</v>
      </c>
      <c r="D42" s="3" t="s">
        <v>183</v>
      </c>
      <c r="E42" s="4" t="s">
        <v>18</v>
      </c>
      <c r="F42" s="4" t="s">
        <v>19</v>
      </c>
      <c r="G42" s="4" t="s">
        <v>20</v>
      </c>
      <c r="H42" s="4" t="s">
        <v>21</v>
      </c>
      <c r="I42" s="5" t="s">
        <v>21</v>
      </c>
      <c r="J42" s="1" t="s">
        <v>224</v>
      </c>
      <c r="K42" s="1" t="s">
        <v>225</v>
      </c>
      <c r="L42" s="1" t="s">
        <v>226</v>
      </c>
      <c r="M42" s="4" t="str">
        <f t="shared" si="0"/>
        <v>Outstanding</v>
      </c>
      <c r="N42" s="13" t="s">
        <v>21</v>
      </c>
    </row>
    <row r="43" spans="1:14" ht="60" customHeight="1" x14ac:dyDescent="0.35">
      <c r="A43" s="11" t="s">
        <v>227</v>
      </c>
      <c r="B43" s="1" t="s">
        <v>228</v>
      </c>
      <c r="C43" s="2" t="s">
        <v>16</v>
      </c>
      <c r="D43" s="3" t="s">
        <v>183</v>
      </c>
      <c r="E43" s="4" t="s">
        <v>18</v>
      </c>
      <c r="F43" s="4" t="s">
        <v>19</v>
      </c>
      <c r="G43" s="4" t="s">
        <v>20</v>
      </c>
      <c r="H43" s="4" t="s">
        <v>21</v>
      </c>
      <c r="I43" s="5" t="s">
        <v>21</v>
      </c>
      <c r="J43" s="1" t="s">
        <v>229</v>
      </c>
      <c r="K43" s="1" t="s">
        <v>230</v>
      </c>
      <c r="L43" s="1" t="s">
        <v>231</v>
      </c>
      <c r="M43" s="4" t="str">
        <f t="shared" si="0"/>
        <v>Outstanding</v>
      </c>
      <c r="N43" s="13" t="s">
        <v>21</v>
      </c>
    </row>
    <row r="44" spans="1:14" ht="60" customHeight="1" x14ac:dyDescent="0.35">
      <c r="A44" s="11" t="s">
        <v>232</v>
      </c>
      <c r="B44" s="1" t="s">
        <v>233</v>
      </c>
      <c r="C44" s="2" t="s">
        <v>16</v>
      </c>
      <c r="D44" s="3" t="s">
        <v>183</v>
      </c>
      <c r="E44" s="4" t="s">
        <v>18</v>
      </c>
      <c r="F44" s="4" t="s">
        <v>19</v>
      </c>
      <c r="G44" s="4" t="s">
        <v>20</v>
      </c>
      <c r="H44" s="4" t="s">
        <v>21</v>
      </c>
      <c r="I44" s="5" t="s">
        <v>21</v>
      </c>
      <c r="J44" s="1" t="s">
        <v>234</v>
      </c>
      <c r="K44" s="1" t="s">
        <v>235</v>
      </c>
      <c r="L44" s="1" t="s">
        <v>236</v>
      </c>
      <c r="M44" s="4" t="str">
        <f t="shared" si="0"/>
        <v>Outstanding</v>
      </c>
      <c r="N44" s="13" t="s">
        <v>21</v>
      </c>
    </row>
    <row r="45" spans="1:14" ht="60" customHeight="1" x14ac:dyDescent="0.35">
      <c r="A45" s="11" t="s">
        <v>237</v>
      </c>
      <c r="B45" s="1" t="s">
        <v>238</v>
      </c>
      <c r="C45" s="2" t="s">
        <v>116</v>
      </c>
      <c r="D45" s="3" t="s">
        <v>183</v>
      </c>
      <c r="E45" s="4" t="s">
        <v>18</v>
      </c>
      <c r="F45" s="4" t="s">
        <v>19</v>
      </c>
      <c r="G45" s="4" t="s">
        <v>20</v>
      </c>
      <c r="H45" s="4" t="s">
        <v>21</v>
      </c>
      <c r="I45" s="5" t="s">
        <v>21</v>
      </c>
      <c r="J45" s="1" t="s">
        <v>239</v>
      </c>
      <c r="K45" s="1" t="s">
        <v>240</v>
      </c>
      <c r="L45" s="1" t="s">
        <v>241</v>
      </c>
      <c r="M45" s="4" t="str">
        <f t="shared" si="0"/>
        <v>Outstanding</v>
      </c>
      <c r="N45" s="13" t="s">
        <v>21</v>
      </c>
    </row>
    <row r="46" spans="1:14" ht="60" customHeight="1" x14ac:dyDescent="0.35">
      <c r="A46" s="11" t="s">
        <v>242</v>
      </c>
      <c r="B46" s="1" t="s">
        <v>243</v>
      </c>
      <c r="C46" s="2" t="s">
        <v>116</v>
      </c>
      <c r="D46" s="3" t="s">
        <v>183</v>
      </c>
      <c r="E46" s="4" t="s">
        <v>18</v>
      </c>
      <c r="F46" s="4" t="s">
        <v>19</v>
      </c>
      <c r="G46" s="4" t="s">
        <v>20</v>
      </c>
      <c r="H46" s="4" t="s">
        <v>21</v>
      </c>
      <c r="I46" s="5" t="s">
        <v>21</v>
      </c>
      <c r="J46" s="1" t="s">
        <v>244</v>
      </c>
      <c r="K46" s="1" t="s">
        <v>245</v>
      </c>
      <c r="L46" s="1" t="s">
        <v>246</v>
      </c>
      <c r="M46" s="4" t="str">
        <f t="shared" si="0"/>
        <v>Outstanding</v>
      </c>
      <c r="N46" s="13" t="s">
        <v>21</v>
      </c>
    </row>
    <row r="47" spans="1:14" ht="60" customHeight="1" x14ac:dyDescent="0.35">
      <c r="A47" s="11" t="s">
        <v>247</v>
      </c>
      <c r="B47" s="1" t="s">
        <v>248</v>
      </c>
      <c r="C47" s="2" t="s">
        <v>116</v>
      </c>
      <c r="D47" s="3" t="s">
        <v>183</v>
      </c>
      <c r="E47" s="4" t="s">
        <v>18</v>
      </c>
      <c r="F47" s="4" t="s">
        <v>19</v>
      </c>
      <c r="G47" s="4" t="s">
        <v>20</v>
      </c>
      <c r="H47" s="4" t="s">
        <v>21</v>
      </c>
      <c r="I47" s="5" t="s">
        <v>21</v>
      </c>
      <c r="J47" s="1" t="s">
        <v>249</v>
      </c>
      <c r="K47" s="1" t="s">
        <v>195</v>
      </c>
      <c r="L47" s="1" t="s">
        <v>250</v>
      </c>
      <c r="M47" s="4" t="str">
        <f t="shared" si="0"/>
        <v>Outstanding</v>
      </c>
      <c r="N47" s="13" t="s">
        <v>21</v>
      </c>
    </row>
    <row r="48" spans="1:14" ht="60" customHeight="1" x14ac:dyDescent="0.35">
      <c r="A48" s="11" t="s">
        <v>251</v>
      </c>
      <c r="B48" s="1" t="s">
        <v>252</v>
      </c>
      <c r="C48" s="2" t="s">
        <v>116</v>
      </c>
      <c r="D48" s="3" t="s">
        <v>183</v>
      </c>
      <c r="E48" s="4" t="s">
        <v>18</v>
      </c>
      <c r="F48" s="4" t="s">
        <v>19</v>
      </c>
      <c r="G48" s="4" t="s">
        <v>20</v>
      </c>
      <c r="H48" s="4" t="s">
        <v>21</v>
      </c>
      <c r="I48" s="5" t="s">
        <v>21</v>
      </c>
      <c r="J48" s="1" t="s">
        <v>253</v>
      </c>
      <c r="K48" s="1" t="s">
        <v>195</v>
      </c>
      <c r="L48" s="1" t="s">
        <v>254</v>
      </c>
      <c r="M48" s="4" t="str">
        <f t="shared" si="0"/>
        <v>Outstanding</v>
      </c>
      <c r="N48" s="13" t="s">
        <v>21</v>
      </c>
    </row>
    <row r="49" spans="1:14" ht="60" customHeight="1" x14ac:dyDescent="0.35">
      <c r="A49" s="11" t="s">
        <v>255</v>
      </c>
      <c r="B49" s="1" t="s">
        <v>256</v>
      </c>
      <c r="C49" s="2" t="s">
        <v>27</v>
      </c>
      <c r="D49" s="3" t="s">
        <v>183</v>
      </c>
      <c r="E49" s="4" t="s">
        <v>18</v>
      </c>
      <c r="F49" s="4" t="s">
        <v>19</v>
      </c>
      <c r="G49" s="4" t="s">
        <v>20</v>
      </c>
      <c r="H49" s="4" t="s">
        <v>21</v>
      </c>
      <c r="I49" s="5" t="s">
        <v>21</v>
      </c>
      <c r="J49" s="1" t="s">
        <v>257</v>
      </c>
      <c r="K49" s="1" t="s">
        <v>258</v>
      </c>
      <c r="L49" s="1" t="s">
        <v>259</v>
      </c>
      <c r="M49" s="4" t="str">
        <f t="shared" si="0"/>
        <v>Outstanding</v>
      </c>
      <c r="N49" s="13" t="s">
        <v>21</v>
      </c>
    </row>
    <row r="50" spans="1:14" ht="60" customHeight="1" x14ac:dyDescent="0.35">
      <c r="A50" s="11" t="s">
        <v>260</v>
      </c>
      <c r="B50" s="1" t="s">
        <v>261</v>
      </c>
      <c r="C50" s="2" t="s">
        <v>16</v>
      </c>
      <c r="D50" s="3" t="s">
        <v>262</v>
      </c>
      <c r="E50" s="4" t="s">
        <v>18</v>
      </c>
      <c r="F50" s="4" t="s">
        <v>19</v>
      </c>
      <c r="G50" s="4" t="s">
        <v>20</v>
      </c>
      <c r="H50" s="4" t="s">
        <v>21</v>
      </c>
      <c r="I50" s="5" t="s">
        <v>21</v>
      </c>
      <c r="J50" s="1" t="s">
        <v>263</v>
      </c>
      <c r="K50" s="1" t="s">
        <v>164</v>
      </c>
      <c r="L50" s="1" t="s">
        <v>264</v>
      </c>
      <c r="M50" s="4" t="str">
        <f t="shared" si="0"/>
        <v>Outstanding</v>
      </c>
      <c r="N50" s="13" t="s">
        <v>21</v>
      </c>
    </row>
    <row r="51" spans="1:14" ht="60" customHeight="1" x14ac:dyDescent="0.35">
      <c r="A51" s="11" t="s">
        <v>265</v>
      </c>
      <c r="B51" s="1" t="s">
        <v>266</v>
      </c>
      <c r="C51" s="2" t="s">
        <v>27</v>
      </c>
      <c r="D51" s="3" t="s">
        <v>262</v>
      </c>
      <c r="E51" s="4" t="s">
        <v>18</v>
      </c>
      <c r="F51" s="4" t="s">
        <v>19</v>
      </c>
      <c r="G51" s="4" t="s">
        <v>20</v>
      </c>
      <c r="H51" s="4" t="s">
        <v>21</v>
      </c>
      <c r="I51" s="5" t="s">
        <v>21</v>
      </c>
      <c r="J51" s="1" t="s">
        <v>267</v>
      </c>
      <c r="K51" s="1" t="s">
        <v>268</v>
      </c>
      <c r="L51" s="1" t="s">
        <v>269</v>
      </c>
      <c r="M51" s="4" t="str">
        <f t="shared" si="0"/>
        <v>Outstanding</v>
      </c>
      <c r="N51" s="13" t="s">
        <v>21</v>
      </c>
    </row>
    <row r="52" spans="1:14" ht="60" customHeight="1" x14ac:dyDescent="0.35">
      <c r="A52" s="11" t="s">
        <v>270</v>
      </c>
      <c r="B52" s="1" t="s">
        <v>271</v>
      </c>
      <c r="C52" s="2" t="s">
        <v>16</v>
      </c>
      <c r="D52" s="3" t="s">
        <v>262</v>
      </c>
      <c r="E52" s="4" t="s">
        <v>18</v>
      </c>
      <c r="F52" s="4" t="s">
        <v>19</v>
      </c>
      <c r="G52" s="4" t="s">
        <v>20</v>
      </c>
      <c r="H52" s="4" t="s">
        <v>21</v>
      </c>
      <c r="I52" s="5" t="s">
        <v>21</v>
      </c>
      <c r="J52" s="1" t="s">
        <v>272</v>
      </c>
      <c r="K52" s="1" t="s">
        <v>273</v>
      </c>
      <c r="L52" s="1" t="s">
        <v>274</v>
      </c>
      <c r="M52" s="4" t="str">
        <f t="shared" si="0"/>
        <v>Outstanding</v>
      </c>
      <c r="N52" s="13" t="s">
        <v>21</v>
      </c>
    </row>
    <row r="53" spans="1:14" ht="60" customHeight="1" x14ac:dyDescent="0.35">
      <c r="A53" s="11" t="s">
        <v>275</v>
      </c>
      <c r="B53" s="1" t="s">
        <v>276</v>
      </c>
      <c r="C53" s="2" t="s">
        <v>16</v>
      </c>
      <c r="D53" s="3" t="s">
        <v>262</v>
      </c>
      <c r="E53" s="4" t="s">
        <v>18</v>
      </c>
      <c r="F53" s="4" t="s">
        <v>19</v>
      </c>
      <c r="G53" s="4" t="s">
        <v>20</v>
      </c>
      <c r="H53" s="4" t="s">
        <v>21</v>
      </c>
      <c r="I53" s="5" t="s">
        <v>21</v>
      </c>
      <c r="J53" s="1" t="s">
        <v>277</v>
      </c>
      <c r="K53" s="1" t="s">
        <v>278</v>
      </c>
      <c r="L53" s="1" t="s">
        <v>279</v>
      </c>
      <c r="M53" s="4" t="str">
        <f t="shared" si="0"/>
        <v>Outstanding</v>
      </c>
      <c r="N53" s="13" t="s">
        <v>21</v>
      </c>
    </row>
    <row r="54" spans="1:14" ht="60" customHeight="1" x14ac:dyDescent="0.35">
      <c r="A54" s="11" t="s">
        <v>280</v>
      </c>
      <c r="B54" s="1" t="s">
        <v>281</v>
      </c>
      <c r="C54" s="2" t="s">
        <v>16</v>
      </c>
      <c r="D54" s="3" t="s">
        <v>262</v>
      </c>
      <c r="E54" s="4" t="s">
        <v>18</v>
      </c>
      <c r="F54" s="4" t="s">
        <v>19</v>
      </c>
      <c r="G54" s="4" t="s">
        <v>20</v>
      </c>
      <c r="H54" s="4" t="s">
        <v>21</v>
      </c>
      <c r="I54" s="5" t="s">
        <v>21</v>
      </c>
      <c r="J54" s="1" t="s">
        <v>282</v>
      </c>
      <c r="K54" s="1" t="s">
        <v>283</v>
      </c>
      <c r="L54" s="1" t="s">
        <v>284</v>
      </c>
      <c r="M54" s="4" t="str">
        <f t="shared" si="0"/>
        <v>Outstanding</v>
      </c>
      <c r="N54" s="13" t="s">
        <v>21</v>
      </c>
    </row>
    <row r="55" spans="1:14" ht="60" customHeight="1" x14ac:dyDescent="0.35">
      <c r="A55" s="11" t="s">
        <v>285</v>
      </c>
      <c r="B55" s="1" t="s">
        <v>286</v>
      </c>
      <c r="C55" s="2" t="s">
        <v>27</v>
      </c>
      <c r="D55" s="3" t="s">
        <v>287</v>
      </c>
      <c r="E55" s="4" t="s">
        <v>18</v>
      </c>
      <c r="F55" s="4" t="s">
        <v>19</v>
      </c>
      <c r="G55" s="4" t="s">
        <v>20</v>
      </c>
      <c r="H55" s="4" t="s">
        <v>21</v>
      </c>
      <c r="I55" s="5" t="s">
        <v>21</v>
      </c>
      <c r="J55" s="1" t="s">
        <v>288</v>
      </c>
      <c r="K55" s="1" t="s">
        <v>190</v>
      </c>
      <c r="L55" s="1" t="s">
        <v>289</v>
      </c>
      <c r="M55" s="4" t="str">
        <f t="shared" si="0"/>
        <v>Outstanding</v>
      </c>
      <c r="N55" s="13" t="s">
        <v>21</v>
      </c>
    </row>
    <row r="56" spans="1:14" ht="60" customHeight="1" x14ac:dyDescent="0.35">
      <c r="A56" s="11" t="s">
        <v>290</v>
      </c>
      <c r="B56" s="1" t="s">
        <v>291</v>
      </c>
      <c r="C56" s="2" t="s">
        <v>116</v>
      </c>
      <c r="D56" s="3" t="s">
        <v>287</v>
      </c>
      <c r="E56" s="4" t="s">
        <v>18</v>
      </c>
      <c r="F56" s="4" t="s">
        <v>19</v>
      </c>
      <c r="G56" s="4" t="s">
        <v>20</v>
      </c>
      <c r="H56" s="4" t="s">
        <v>21</v>
      </c>
      <c r="I56" s="5" t="s">
        <v>21</v>
      </c>
      <c r="J56" s="1" t="s">
        <v>292</v>
      </c>
      <c r="K56" s="1" t="s">
        <v>195</v>
      </c>
      <c r="L56" s="1" t="s">
        <v>293</v>
      </c>
      <c r="M56" s="4" t="str">
        <f t="shared" si="0"/>
        <v>Outstanding</v>
      </c>
      <c r="N56" s="13" t="s">
        <v>21</v>
      </c>
    </row>
    <row r="57" spans="1:14" ht="60" customHeight="1" x14ac:dyDescent="0.35">
      <c r="A57" s="11" t="s">
        <v>294</v>
      </c>
      <c r="B57" s="1" t="s">
        <v>295</v>
      </c>
      <c r="C57" s="2" t="s">
        <v>116</v>
      </c>
      <c r="D57" s="3" t="s">
        <v>287</v>
      </c>
      <c r="E57" s="4" t="s">
        <v>18</v>
      </c>
      <c r="F57" s="4" t="s">
        <v>19</v>
      </c>
      <c r="G57" s="4" t="s">
        <v>20</v>
      </c>
      <c r="H57" s="4" t="s">
        <v>21</v>
      </c>
      <c r="I57" s="5" t="s">
        <v>21</v>
      </c>
      <c r="J57" s="1" t="s">
        <v>296</v>
      </c>
      <c r="K57" s="1" t="s">
        <v>297</v>
      </c>
      <c r="L57" s="1" t="s">
        <v>298</v>
      </c>
      <c r="M57" s="4" t="str">
        <f t="shared" si="0"/>
        <v>Outstanding</v>
      </c>
      <c r="N57" s="13" t="s">
        <v>21</v>
      </c>
    </row>
    <row r="58" spans="1:14" ht="60" customHeight="1" x14ac:dyDescent="0.35">
      <c r="A58" s="11" t="s">
        <v>299</v>
      </c>
      <c r="B58" s="1" t="s">
        <v>300</v>
      </c>
      <c r="C58" s="2" t="s">
        <v>116</v>
      </c>
      <c r="D58" s="3" t="s">
        <v>287</v>
      </c>
      <c r="E58" s="4" t="s">
        <v>18</v>
      </c>
      <c r="F58" s="4" t="s">
        <v>19</v>
      </c>
      <c r="G58" s="4" t="s">
        <v>20</v>
      </c>
      <c r="H58" s="4" t="s">
        <v>21</v>
      </c>
      <c r="I58" s="5" t="s">
        <v>21</v>
      </c>
      <c r="J58" s="1" t="s">
        <v>301</v>
      </c>
      <c r="K58" s="1" t="s">
        <v>195</v>
      </c>
      <c r="L58" s="1" t="s">
        <v>302</v>
      </c>
      <c r="M58" s="4" t="str">
        <f t="shared" si="0"/>
        <v>Outstanding</v>
      </c>
      <c r="N58" s="13" t="s">
        <v>21</v>
      </c>
    </row>
    <row r="59" spans="1:14" ht="60" customHeight="1" x14ac:dyDescent="0.35">
      <c r="A59" s="11" t="s">
        <v>303</v>
      </c>
      <c r="B59" s="1" t="s">
        <v>304</v>
      </c>
      <c r="C59" s="2" t="s">
        <v>116</v>
      </c>
      <c r="D59" s="3" t="s">
        <v>305</v>
      </c>
      <c r="E59" s="4" t="s">
        <v>18</v>
      </c>
      <c r="F59" s="4" t="s">
        <v>19</v>
      </c>
      <c r="G59" s="4" t="s">
        <v>20</v>
      </c>
      <c r="H59" s="4" t="s">
        <v>21</v>
      </c>
      <c r="I59" s="5" t="s">
        <v>21</v>
      </c>
      <c r="J59" s="1" t="s">
        <v>306</v>
      </c>
      <c r="K59" s="1" t="s">
        <v>307</v>
      </c>
      <c r="L59" s="1" t="s">
        <v>308</v>
      </c>
      <c r="M59" s="4" t="str">
        <f t="shared" si="0"/>
        <v>Outstanding</v>
      </c>
      <c r="N59" s="13" t="s">
        <v>21</v>
      </c>
    </row>
    <row r="60" spans="1:14" ht="60" customHeight="1" x14ac:dyDescent="0.35">
      <c r="A60" s="11" t="s">
        <v>309</v>
      </c>
      <c r="B60" s="1" t="s">
        <v>310</v>
      </c>
      <c r="C60" s="2" t="s">
        <v>16</v>
      </c>
      <c r="D60" s="3" t="s">
        <v>305</v>
      </c>
      <c r="E60" s="4" t="s">
        <v>18</v>
      </c>
      <c r="F60" s="4" t="s">
        <v>19</v>
      </c>
      <c r="G60" s="4" t="s">
        <v>20</v>
      </c>
      <c r="H60" s="4" t="s">
        <v>21</v>
      </c>
      <c r="I60" s="5" t="s">
        <v>21</v>
      </c>
      <c r="J60" s="1" t="s">
        <v>311</v>
      </c>
      <c r="K60" s="1" t="s">
        <v>312</v>
      </c>
      <c r="L60" s="1" t="s">
        <v>313</v>
      </c>
      <c r="M60" s="4" t="str">
        <f t="shared" si="0"/>
        <v>Outstanding</v>
      </c>
      <c r="N60" s="13" t="s">
        <v>21</v>
      </c>
    </row>
    <row r="61" spans="1:14" ht="60" customHeight="1" x14ac:dyDescent="0.35">
      <c r="A61" s="11" t="s">
        <v>314</v>
      </c>
      <c r="B61" s="1" t="s">
        <v>315</v>
      </c>
      <c r="C61" s="2" t="s">
        <v>16</v>
      </c>
      <c r="D61" s="3" t="s">
        <v>305</v>
      </c>
      <c r="E61" s="4" t="s">
        <v>18</v>
      </c>
      <c r="F61" s="4" t="s">
        <v>19</v>
      </c>
      <c r="G61" s="4" t="s">
        <v>20</v>
      </c>
      <c r="H61" s="4" t="s">
        <v>21</v>
      </c>
      <c r="I61" s="5" t="s">
        <v>21</v>
      </c>
      <c r="J61" s="1" t="s">
        <v>316</v>
      </c>
      <c r="K61" s="1" t="s">
        <v>317</v>
      </c>
      <c r="L61" s="1" t="s">
        <v>318</v>
      </c>
      <c r="M61" s="4" t="str">
        <f t="shared" si="0"/>
        <v>Outstanding</v>
      </c>
      <c r="N61" s="13" t="s">
        <v>21</v>
      </c>
    </row>
    <row r="62" spans="1:14" ht="60" customHeight="1" x14ac:dyDescent="0.35">
      <c r="A62" s="11" t="s">
        <v>319</v>
      </c>
      <c r="B62" s="1" t="s">
        <v>320</v>
      </c>
      <c r="C62" s="2" t="s">
        <v>16</v>
      </c>
      <c r="D62" s="3" t="s">
        <v>305</v>
      </c>
      <c r="E62" s="4" t="s">
        <v>18</v>
      </c>
      <c r="F62" s="4" t="s">
        <v>19</v>
      </c>
      <c r="G62" s="4" t="s">
        <v>20</v>
      </c>
      <c r="H62" s="4" t="s">
        <v>21</v>
      </c>
      <c r="I62" s="5" t="s">
        <v>21</v>
      </c>
      <c r="J62" s="1" t="s">
        <v>321</v>
      </c>
      <c r="K62" s="1" t="s">
        <v>322</v>
      </c>
      <c r="L62" s="1" t="s">
        <v>323</v>
      </c>
      <c r="M62" s="4" t="str">
        <f t="shared" si="0"/>
        <v>Outstanding</v>
      </c>
      <c r="N62" s="13" t="s">
        <v>21</v>
      </c>
    </row>
    <row r="63" spans="1:14" ht="60" customHeight="1" x14ac:dyDescent="0.35">
      <c r="A63" s="11" t="s">
        <v>324</v>
      </c>
      <c r="B63" s="1" t="s">
        <v>325</v>
      </c>
      <c r="C63" s="2" t="s">
        <v>16</v>
      </c>
      <c r="D63" s="3" t="s">
        <v>305</v>
      </c>
      <c r="E63" s="4" t="s">
        <v>18</v>
      </c>
      <c r="F63" s="4" t="s">
        <v>19</v>
      </c>
      <c r="G63" s="4" t="s">
        <v>20</v>
      </c>
      <c r="H63" s="4" t="s">
        <v>21</v>
      </c>
      <c r="I63" s="5" t="s">
        <v>21</v>
      </c>
      <c r="J63" s="1" t="s">
        <v>326</v>
      </c>
      <c r="K63" s="1" t="s">
        <v>327</v>
      </c>
      <c r="L63" s="1" t="s">
        <v>328</v>
      </c>
      <c r="M63" s="4" t="str">
        <f t="shared" si="0"/>
        <v>Outstanding</v>
      </c>
      <c r="N63" s="13" t="s">
        <v>21</v>
      </c>
    </row>
    <row r="64" spans="1:14" ht="60" customHeight="1" x14ac:dyDescent="0.35">
      <c r="A64" s="12" t="s">
        <v>329</v>
      </c>
      <c r="B64" s="6" t="s">
        <v>330</v>
      </c>
      <c r="C64" s="7" t="s">
        <v>27</v>
      </c>
      <c r="D64" s="8" t="s">
        <v>305</v>
      </c>
      <c r="E64" s="9" t="s">
        <v>18</v>
      </c>
      <c r="F64" s="9" t="s">
        <v>19</v>
      </c>
      <c r="G64" s="9" t="s">
        <v>20</v>
      </c>
      <c r="H64" s="9" t="s">
        <v>21</v>
      </c>
      <c r="I64" s="10" t="s">
        <v>21</v>
      </c>
      <c r="J64" s="6" t="s">
        <v>331</v>
      </c>
      <c r="K64" s="6" t="s">
        <v>332</v>
      </c>
      <c r="L64" s="6" t="s">
        <v>333</v>
      </c>
      <c r="M64" s="9" t="str">
        <f t="shared" si="0"/>
        <v>Outstanding</v>
      </c>
      <c r="N64" s="14" t="s">
        <v>21</v>
      </c>
    </row>
    <row r="68" spans="1:4" ht="32" customHeight="1" x14ac:dyDescent="0.35">
      <c r="A68" s="291" t="s">
        <v>334</v>
      </c>
      <c r="B68" s="291"/>
      <c r="C68" s="291"/>
      <c r="D68" s="291"/>
    </row>
  </sheetData>
  <mergeCells count="1">
    <mergeCell ref="A68:D68"/>
  </mergeCells>
  <conditionalFormatting sqref="C2:C64">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6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6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6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64" xr:uid="{00000000-0002-0000-0200-000000000000}">
      <formula1>"Must,Should,Could,Won't,Unassigned"</formula1>
    </dataValidation>
    <dataValidation type="list" showErrorMessage="1" errorTitle="Invalid Value" error="Please select a value from the list: Low, Medium, High, Unassessed." sqref="F2:F64" xr:uid="{00000000-0002-0000-0200-000001000000}">
      <formula1>"Low,Medium,High,Unassessed"</formula1>
    </dataValidation>
    <dataValidation type="list" showErrorMessage="1" errorTitle="Invalid Value" error="Please select a value from the list: Phase1, Phase2, Phase3, Phase4, Phase5, Pending." sqref="G2:G6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4" xr:uid="{00000000-0002-0000-0200-000003000000}">
      <formula1>"Implemented,Testing,Failed,Compensated,Risk Accepted,N/A"</formula1>
    </dataValidation>
  </dataValidations>
  <hyperlinks>
    <hyperlink ref="A6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491</v>
      </c>
      <c r="C2" s="308" t="s">
        <v>491</v>
      </c>
      <c r="D2" s="308" t="s">
        <v>491</v>
      </c>
      <c r="E2" s="308" t="s">
        <v>491</v>
      </c>
      <c r="F2" s="308" t="s">
        <v>491</v>
      </c>
      <c r="G2" s="308" t="s">
        <v>491</v>
      </c>
      <c r="H2" s="312" t="s">
        <v>492</v>
      </c>
      <c r="I2" s="312" t="s">
        <v>492</v>
      </c>
      <c r="J2" s="312" t="s">
        <v>492</v>
      </c>
      <c r="K2" s="312" t="s">
        <v>492</v>
      </c>
      <c r="L2" s="312" t="s">
        <v>492</v>
      </c>
      <c r="M2" s="311" t="s">
        <v>493</v>
      </c>
      <c r="N2" s="311" t="s">
        <v>493</v>
      </c>
      <c r="O2" s="313" t="s">
        <v>494</v>
      </c>
      <c r="P2" s="313" t="s">
        <v>494</v>
      </c>
      <c r="Q2" s="309" t="s">
        <v>12</v>
      </c>
      <c r="R2" s="309" t="s">
        <v>12</v>
      </c>
      <c r="S2" s="309" t="s">
        <v>12</v>
      </c>
      <c r="T2" s="310" t="s">
        <v>495</v>
      </c>
    </row>
    <row r="3" spans="2:20" ht="35" customHeight="1" x14ac:dyDescent="0.35">
      <c r="B3" s="73" t="s">
        <v>496</v>
      </c>
      <c r="C3" s="73" t="s">
        <v>497</v>
      </c>
      <c r="D3" s="73" t="s">
        <v>498</v>
      </c>
      <c r="E3" s="73" t="s">
        <v>499</v>
      </c>
      <c r="F3" s="73" t="s">
        <v>500</v>
      </c>
      <c r="G3" s="73" t="s">
        <v>10</v>
      </c>
      <c r="H3" s="74" t="s">
        <v>501</v>
      </c>
      <c r="I3" s="74" t="s">
        <v>502</v>
      </c>
      <c r="J3" s="74" t="s">
        <v>503</v>
      </c>
      <c r="K3" s="74" t="s">
        <v>504</v>
      </c>
      <c r="L3" s="74" t="s">
        <v>435</v>
      </c>
      <c r="M3" s="75" t="s">
        <v>505</v>
      </c>
      <c r="N3" s="75" t="s">
        <v>506</v>
      </c>
      <c r="O3" s="76" t="s">
        <v>507</v>
      </c>
      <c r="P3" s="76" t="s">
        <v>508</v>
      </c>
      <c r="Q3" s="77" t="s">
        <v>12</v>
      </c>
      <c r="R3" s="77" t="s">
        <v>509</v>
      </c>
      <c r="S3" s="77" t="s">
        <v>510</v>
      </c>
      <c r="T3" s="78" t="s">
        <v>511</v>
      </c>
    </row>
    <row r="4" spans="2:20" ht="60" customHeight="1" x14ac:dyDescent="0.35">
      <c r="B4" s="79" t="s">
        <v>512</v>
      </c>
      <c r="C4" s="79" t="s">
        <v>513</v>
      </c>
      <c r="D4" s="79" t="s">
        <v>514</v>
      </c>
      <c r="E4" s="79" t="s">
        <v>515</v>
      </c>
      <c r="F4" s="79" t="s">
        <v>516</v>
      </c>
      <c r="G4" s="79" t="s">
        <v>517</v>
      </c>
      <c r="H4" s="79" t="s">
        <v>518</v>
      </c>
      <c r="I4" s="79" t="s">
        <v>519</v>
      </c>
      <c r="J4" s="79" t="s">
        <v>520</v>
      </c>
      <c r="K4" s="79" t="s">
        <v>521</v>
      </c>
      <c r="L4" s="79" t="s">
        <v>522</v>
      </c>
      <c r="M4" s="79" t="s">
        <v>523</v>
      </c>
      <c r="N4" s="79" t="s">
        <v>524</v>
      </c>
      <c r="O4" s="79" t="s">
        <v>525</v>
      </c>
      <c r="P4" s="79" t="s">
        <v>526</v>
      </c>
      <c r="Q4" s="79" t="s">
        <v>527</v>
      </c>
      <c r="R4" s="79" t="s">
        <v>528</v>
      </c>
      <c r="S4" s="79" t="s">
        <v>529</v>
      </c>
      <c r="T4" s="79" t="s">
        <v>530</v>
      </c>
    </row>
    <row r="5" spans="2:20" ht="60" customHeight="1" x14ac:dyDescent="0.35">
      <c r="B5" s="41" t="s">
        <v>531</v>
      </c>
      <c r="C5" s="80"/>
      <c r="D5" s="81"/>
      <c r="E5" s="81" t="s">
        <v>21</v>
      </c>
      <c r="F5" s="81" t="str">
        <f>IF(E5&lt;&gt;"", IFERROR(VLOOKUP(E5, Dashboard!$B52:$F57, 5, FALSE), ""), "")</f>
        <v/>
      </c>
      <c r="G5" s="82"/>
      <c r="H5" s="69"/>
      <c r="I5" s="69"/>
      <c r="J5" s="82"/>
      <c r="K5" s="82"/>
      <c r="L5" s="43"/>
      <c r="M5" s="43"/>
      <c r="N5" s="82"/>
      <c r="O5" s="82"/>
      <c r="P5" s="43"/>
      <c r="Q5" s="43" t="s">
        <v>21</v>
      </c>
      <c r="R5" s="82"/>
      <c r="S5" s="69"/>
      <c r="T5" s="82"/>
    </row>
    <row r="6" spans="2:20" ht="60" customHeight="1" x14ac:dyDescent="0.35">
      <c r="B6" s="41" t="s">
        <v>532</v>
      </c>
      <c r="C6" s="80"/>
      <c r="D6" s="81"/>
      <c r="E6" s="81" t="s">
        <v>21</v>
      </c>
      <c r="F6" s="81" t="str">
        <f>IF(E6&lt;&gt;"", IFERROR(VLOOKUP(E6, Dashboard!$B52:$F57, 5, FALSE), ""), "")</f>
        <v/>
      </c>
      <c r="G6" s="82"/>
      <c r="H6" s="69"/>
      <c r="I6" s="69"/>
      <c r="J6" s="82"/>
      <c r="K6" s="82"/>
      <c r="L6" s="43"/>
      <c r="M6" s="43"/>
      <c r="N6" s="82"/>
      <c r="O6" s="82"/>
      <c r="P6" s="43"/>
      <c r="Q6" s="43" t="s">
        <v>21</v>
      </c>
      <c r="R6" s="82"/>
      <c r="S6" s="69"/>
      <c r="T6" s="82"/>
    </row>
    <row r="7" spans="2:20" ht="60" customHeight="1" x14ac:dyDescent="0.35">
      <c r="B7" s="41" t="s">
        <v>533</v>
      </c>
      <c r="C7" s="80"/>
      <c r="D7" s="81"/>
      <c r="E7" s="81" t="s">
        <v>21</v>
      </c>
      <c r="F7" s="81" t="str">
        <f>IF(E7&lt;&gt;"", IFERROR(VLOOKUP(E7, Dashboard!$B52:$F57, 5, FALSE), ""), "")</f>
        <v/>
      </c>
      <c r="G7" s="82"/>
      <c r="H7" s="69"/>
      <c r="I7" s="69"/>
      <c r="J7" s="82"/>
      <c r="K7" s="82"/>
      <c r="L7" s="43"/>
      <c r="M7" s="43"/>
      <c r="N7" s="82"/>
      <c r="O7" s="82"/>
      <c r="P7" s="43"/>
      <c r="Q7" s="43" t="s">
        <v>21</v>
      </c>
      <c r="R7" s="82"/>
      <c r="S7" s="69"/>
      <c r="T7" s="82"/>
    </row>
    <row r="8" spans="2:20" ht="60" customHeight="1" x14ac:dyDescent="0.35">
      <c r="B8" s="41" t="s">
        <v>534</v>
      </c>
      <c r="C8" s="80"/>
      <c r="D8" s="81"/>
      <c r="E8" s="81" t="s">
        <v>21</v>
      </c>
      <c r="F8" s="81" t="str">
        <f>IF(E8&lt;&gt;"", IFERROR(VLOOKUP(E8, Dashboard!$B52:$F57, 5, FALSE), ""), "")</f>
        <v/>
      </c>
      <c r="G8" s="82"/>
      <c r="H8" s="69"/>
      <c r="I8" s="69"/>
      <c r="J8" s="82"/>
      <c r="K8" s="82"/>
      <c r="L8" s="43"/>
      <c r="M8" s="43"/>
      <c r="N8" s="82"/>
      <c r="O8" s="82"/>
      <c r="P8" s="43"/>
      <c r="Q8" s="43" t="s">
        <v>21</v>
      </c>
      <c r="R8" s="82"/>
      <c r="S8" s="69"/>
      <c r="T8" s="82"/>
    </row>
    <row r="9" spans="2:20" ht="60" customHeight="1" x14ac:dyDescent="0.35">
      <c r="B9" s="41" t="s">
        <v>535</v>
      </c>
      <c r="C9" s="80"/>
      <c r="D9" s="81"/>
      <c r="E9" s="81" t="s">
        <v>21</v>
      </c>
      <c r="F9" s="81" t="str">
        <f>IF(E9&lt;&gt;"", IFERROR(VLOOKUP(E9, Dashboard!$B52:$F57, 5, FALSE), ""), "")</f>
        <v/>
      </c>
      <c r="G9" s="82"/>
      <c r="H9" s="69"/>
      <c r="I9" s="69"/>
      <c r="J9" s="82"/>
      <c r="K9" s="82"/>
      <c r="L9" s="43"/>
      <c r="M9" s="43"/>
      <c r="N9" s="82"/>
      <c r="O9" s="82"/>
      <c r="P9" s="43"/>
      <c r="Q9" s="43" t="s">
        <v>21</v>
      </c>
      <c r="R9" s="82"/>
      <c r="S9" s="69"/>
      <c r="T9" s="82"/>
    </row>
    <row r="10" spans="2:20" ht="60" customHeight="1" x14ac:dyDescent="0.35">
      <c r="B10" s="41" t="s">
        <v>536</v>
      </c>
      <c r="C10" s="80"/>
      <c r="D10" s="81"/>
      <c r="E10" s="81" t="s">
        <v>21</v>
      </c>
      <c r="F10" s="81" t="str">
        <f>IF(E10&lt;&gt;"", IFERROR(VLOOKUP(E10, Dashboard!$B52:$F57, 5, FALSE), ""), "")</f>
        <v/>
      </c>
      <c r="G10" s="82"/>
      <c r="H10" s="69"/>
      <c r="I10" s="69"/>
      <c r="J10" s="82"/>
      <c r="K10" s="82"/>
      <c r="L10" s="43"/>
      <c r="M10" s="43"/>
      <c r="N10" s="82"/>
      <c r="O10" s="82"/>
      <c r="P10" s="43"/>
      <c r="Q10" s="43" t="s">
        <v>21</v>
      </c>
      <c r="R10" s="82"/>
      <c r="S10" s="69"/>
      <c r="T10" s="82"/>
    </row>
    <row r="11" spans="2:20" ht="60" customHeight="1" x14ac:dyDescent="0.35">
      <c r="B11" s="41" t="s">
        <v>537</v>
      </c>
      <c r="C11" s="80"/>
      <c r="D11" s="81"/>
      <c r="E11" s="81" t="s">
        <v>21</v>
      </c>
      <c r="F11" s="81" t="str">
        <f>IF(E11&lt;&gt;"", IFERROR(VLOOKUP(E11, Dashboard!$B52:$F57, 5, FALSE), ""), "")</f>
        <v/>
      </c>
      <c r="G11" s="82"/>
      <c r="H11" s="69"/>
      <c r="I11" s="69"/>
      <c r="J11" s="82"/>
      <c r="K11" s="82"/>
      <c r="L11" s="43"/>
      <c r="M11" s="43"/>
      <c r="N11" s="82"/>
      <c r="O11" s="82"/>
      <c r="P11" s="43"/>
      <c r="Q11" s="43" t="s">
        <v>21</v>
      </c>
      <c r="R11" s="82"/>
      <c r="S11" s="69"/>
      <c r="T11" s="82"/>
    </row>
    <row r="12" spans="2:20" ht="60" customHeight="1" x14ac:dyDescent="0.35">
      <c r="B12" s="41" t="s">
        <v>538</v>
      </c>
      <c r="C12" s="80"/>
      <c r="D12" s="81"/>
      <c r="E12" s="81" t="s">
        <v>21</v>
      </c>
      <c r="F12" s="81" t="str">
        <f>IF(E12&lt;&gt;"", IFERROR(VLOOKUP(E12, Dashboard!$B52:$F57, 5, FALSE), ""), "")</f>
        <v/>
      </c>
      <c r="G12" s="82"/>
      <c r="H12" s="69"/>
      <c r="I12" s="69"/>
      <c r="J12" s="82"/>
      <c r="K12" s="82"/>
      <c r="L12" s="43"/>
      <c r="M12" s="43"/>
      <c r="N12" s="82"/>
      <c r="O12" s="82"/>
      <c r="P12" s="43"/>
      <c r="Q12" s="43" t="s">
        <v>21</v>
      </c>
      <c r="R12" s="82"/>
      <c r="S12" s="69"/>
      <c r="T12" s="82"/>
    </row>
    <row r="13" spans="2:20" ht="60" customHeight="1" x14ac:dyDescent="0.35">
      <c r="B13" s="41" t="s">
        <v>539</v>
      </c>
      <c r="C13" s="80"/>
      <c r="D13" s="81"/>
      <c r="E13" s="81" t="s">
        <v>21</v>
      </c>
      <c r="F13" s="81" t="str">
        <f>IF(E13&lt;&gt;"", IFERROR(VLOOKUP(E13, Dashboard!$B52:$F57, 5, FALSE), ""), "")</f>
        <v/>
      </c>
      <c r="G13" s="82"/>
      <c r="H13" s="69"/>
      <c r="I13" s="69"/>
      <c r="J13" s="82"/>
      <c r="K13" s="82"/>
      <c r="L13" s="43"/>
      <c r="M13" s="43"/>
      <c r="N13" s="82"/>
      <c r="O13" s="82"/>
      <c r="P13" s="43"/>
      <c r="Q13" s="43" t="s">
        <v>21</v>
      </c>
      <c r="R13" s="82"/>
      <c r="S13" s="69"/>
      <c r="T13" s="82"/>
    </row>
    <row r="14" spans="2:20" ht="60" customHeight="1" x14ac:dyDescent="0.35">
      <c r="B14" s="41" t="s">
        <v>540</v>
      </c>
      <c r="C14" s="80"/>
      <c r="D14" s="81"/>
      <c r="E14" s="81" t="s">
        <v>21</v>
      </c>
      <c r="F14" s="81" t="str">
        <f>IF(E14&lt;&gt;"", IFERROR(VLOOKUP(E14, Dashboard!$B52:$F57, 5, FALSE), ""), "")</f>
        <v/>
      </c>
      <c r="G14" s="82"/>
      <c r="H14" s="69"/>
      <c r="I14" s="69"/>
      <c r="J14" s="82"/>
      <c r="K14" s="82"/>
      <c r="L14" s="43"/>
      <c r="M14" s="43"/>
      <c r="N14" s="82"/>
      <c r="O14" s="82"/>
      <c r="P14" s="43"/>
      <c r="Q14" s="43" t="s">
        <v>21</v>
      </c>
      <c r="R14" s="82"/>
      <c r="S14" s="69"/>
      <c r="T14" s="82"/>
    </row>
    <row r="15" spans="2:20" ht="60" customHeight="1" x14ac:dyDescent="0.35">
      <c r="B15" s="41" t="s">
        <v>541</v>
      </c>
      <c r="C15" s="80"/>
      <c r="D15" s="81"/>
      <c r="E15" s="81" t="s">
        <v>21</v>
      </c>
      <c r="F15" s="81" t="str">
        <f>IF(E15&lt;&gt;"", IFERROR(VLOOKUP(E15, Dashboard!$B52:$F57, 5, FALSE), ""), "")</f>
        <v/>
      </c>
      <c r="G15" s="82"/>
      <c r="H15" s="69"/>
      <c r="I15" s="69"/>
      <c r="J15" s="82"/>
      <c r="K15" s="82"/>
      <c r="L15" s="43"/>
      <c r="M15" s="43"/>
      <c r="N15" s="82"/>
      <c r="O15" s="82"/>
      <c r="P15" s="43"/>
      <c r="Q15" s="43" t="s">
        <v>21</v>
      </c>
      <c r="R15" s="82"/>
      <c r="S15" s="69"/>
      <c r="T15" s="82"/>
    </row>
    <row r="16" spans="2:20" ht="60" customHeight="1" x14ac:dyDescent="0.35">
      <c r="B16" s="41" t="s">
        <v>542</v>
      </c>
      <c r="C16" s="80"/>
      <c r="D16" s="81"/>
      <c r="E16" s="81" t="s">
        <v>21</v>
      </c>
      <c r="F16" s="81" t="str">
        <f>IF(E16&lt;&gt;"", IFERROR(VLOOKUP(E16, Dashboard!$B52:$F57, 5, FALSE), ""), "")</f>
        <v/>
      </c>
      <c r="G16" s="82"/>
      <c r="H16" s="69"/>
      <c r="I16" s="69"/>
      <c r="J16" s="82"/>
      <c r="K16" s="82"/>
      <c r="L16" s="43"/>
      <c r="M16" s="43"/>
      <c r="N16" s="82"/>
      <c r="O16" s="82"/>
      <c r="P16" s="43"/>
      <c r="Q16" s="43" t="s">
        <v>21</v>
      </c>
      <c r="R16" s="82"/>
      <c r="S16" s="69"/>
      <c r="T16" s="82"/>
    </row>
    <row r="17" spans="2:20" ht="60" customHeight="1" x14ac:dyDescent="0.35">
      <c r="B17" s="41" t="s">
        <v>543</v>
      </c>
      <c r="C17" s="80"/>
      <c r="D17" s="81"/>
      <c r="E17" s="81" t="s">
        <v>21</v>
      </c>
      <c r="F17" s="81" t="str">
        <f>IF(E17&lt;&gt;"", IFERROR(VLOOKUP(E17, Dashboard!$B52:$F57, 5, FALSE), ""), "")</f>
        <v/>
      </c>
      <c r="G17" s="82"/>
      <c r="H17" s="69"/>
      <c r="I17" s="69"/>
      <c r="J17" s="82"/>
      <c r="K17" s="82"/>
      <c r="L17" s="43"/>
      <c r="M17" s="43"/>
      <c r="N17" s="82"/>
      <c r="O17" s="82"/>
      <c r="P17" s="43"/>
      <c r="Q17" s="43" t="s">
        <v>21</v>
      </c>
      <c r="R17" s="82"/>
      <c r="S17" s="69"/>
      <c r="T17" s="82"/>
    </row>
    <row r="18" spans="2:20" ht="60" customHeight="1" x14ac:dyDescent="0.35">
      <c r="B18" s="41" t="s">
        <v>544</v>
      </c>
      <c r="C18" s="80"/>
      <c r="D18" s="81"/>
      <c r="E18" s="81" t="s">
        <v>21</v>
      </c>
      <c r="F18" s="81" t="str">
        <f>IF(E18&lt;&gt;"", IFERROR(VLOOKUP(E18, Dashboard!$B52:$F57, 5, FALSE), ""), "")</f>
        <v/>
      </c>
      <c r="G18" s="82"/>
      <c r="H18" s="69"/>
      <c r="I18" s="69"/>
      <c r="J18" s="82"/>
      <c r="K18" s="82"/>
      <c r="L18" s="43"/>
      <c r="M18" s="43"/>
      <c r="N18" s="82"/>
      <c r="O18" s="82"/>
      <c r="P18" s="43"/>
      <c r="Q18" s="43" t="s">
        <v>21</v>
      </c>
      <c r="R18" s="82"/>
      <c r="S18" s="69"/>
      <c r="T18" s="82"/>
    </row>
    <row r="19" spans="2:20" ht="60" customHeight="1" x14ac:dyDescent="0.35">
      <c r="B19" s="41" t="s">
        <v>545</v>
      </c>
      <c r="C19" s="80"/>
      <c r="D19" s="81"/>
      <c r="E19" s="81" t="s">
        <v>21</v>
      </c>
      <c r="F19" s="81" t="str">
        <f>IF(E19&lt;&gt;"", IFERROR(VLOOKUP(E19, Dashboard!$B52:$F57, 5, FALSE), ""), "")</f>
        <v/>
      </c>
      <c r="G19" s="82"/>
      <c r="H19" s="69"/>
      <c r="I19" s="69"/>
      <c r="J19" s="82"/>
      <c r="K19" s="82"/>
      <c r="L19" s="43"/>
      <c r="M19" s="43"/>
      <c r="N19" s="82"/>
      <c r="O19" s="82"/>
      <c r="P19" s="43"/>
      <c r="Q19" s="43" t="s">
        <v>21</v>
      </c>
      <c r="R19" s="82"/>
      <c r="S19" s="69"/>
      <c r="T19" s="82"/>
    </row>
    <row r="20" spans="2:20" ht="60" customHeight="1" x14ac:dyDescent="0.35">
      <c r="B20" s="41" t="s">
        <v>546</v>
      </c>
      <c r="C20" s="80"/>
      <c r="D20" s="81"/>
      <c r="E20" s="81" t="s">
        <v>21</v>
      </c>
      <c r="F20" s="81" t="str">
        <f>IF(E20&lt;&gt;"", IFERROR(VLOOKUP(E20, Dashboard!$B52:$F57, 5, FALSE), ""), "")</f>
        <v/>
      </c>
      <c r="G20" s="82"/>
      <c r="H20" s="69"/>
      <c r="I20" s="69"/>
      <c r="J20" s="82"/>
      <c r="K20" s="82"/>
      <c r="L20" s="43"/>
      <c r="M20" s="43"/>
      <c r="N20" s="82"/>
      <c r="O20" s="82"/>
      <c r="P20" s="43"/>
      <c r="Q20" s="43" t="s">
        <v>21</v>
      </c>
      <c r="R20" s="82"/>
      <c r="S20" s="69"/>
      <c r="T20" s="82"/>
    </row>
    <row r="21" spans="2:20" ht="60" customHeight="1" x14ac:dyDescent="0.35">
      <c r="B21" s="41" t="s">
        <v>547</v>
      </c>
      <c r="C21" s="80"/>
      <c r="D21" s="81"/>
      <c r="E21" s="81" t="s">
        <v>21</v>
      </c>
      <c r="F21" s="81" t="str">
        <f>IF(E21&lt;&gt;"", IFERROR(VLOOKUP(E21, Dashboard!$B52:$F57, 5, FALSE), ""), "")</f>
        <v/>
      </c>
      <c r="G21" s="82"/>
      <c r="H21" s="69"/>
      <c r="I21" s="69"/>
      <c r="J21" s="82"/>
      <c r="K21" s="82"/>
      <c r="L21" s="43"/>
      <c r="M21" s="43"/>
      <c r="N21" s="82"/>
      <c r="O21" s="82"/>
      <c r="P21" s="43"/>
      <c r="Q21" s="43" t="s">
        <v>21</v>
      </c>
      <c r="R21" s="82"/>
      <c r="S21" s="69"/>
      <c r="T21" s="82"/>
    </row>
    <row r="22" spans="2:20" ht="60" customHeight="1" x14ac:dyDescent="0.35">
      <c r="B22" s="41" t="s">
        <v>548</v>
      </c>
      <c r="C22" s="80"/>
      <c r="D22" s="81"/>
      <c r="E22" s="81" t="s">
        <v>21</v>
      </c>
      <c r="F22" s="81" t="str">
        <f>IF(E22&lt;&gt;"", IFERROR(VLOOKUP(E22, Dashboard!$B52:$F57, 5, FALSE), ""), "")</f>
        <v/>
      </c>
      <c r="G22" s="82"/>
      <c r="H22" s="69"/>
      <c r="I22" s="69"/>
      <c r="J22" s="82"/>
      <c r="K22" s="82"/>
      <c r="L22" s="43"/>
      <c r="M22" s="43"/>
      <c r="N22" s="82"/>
      <c r="O22" s="82"/>
      <c r="P22" s="43"/>
      <c r="Q22" s="43" t="s">
        <v>21</v>
      </c>
      <c r="R22" s="82"/>
      <c r="S22" s="69"/>
      <c r="T22" s="82"/>
    </row>
    <row r="23" spans="2:20" ht="60" customHeight="1" x14ac:dyDescent="0.35">
      <c r="B23" s="41" t="s">
        <v>549</v>
      </c>
      <c r="C23" s="80"/>
      <c r="D23" s="81"/>
      <c r="E23" s="81" t="s">
        <v>21</v>
      </c>
      <c r="F23" s="81" t="str">
        <f>IF(E23&lt;&gt;"", IFERROR(VLOOKUP(E23, Dashboard!$B52:$F57, 5, FALSE), ""), "")</f>
        <v/>
      </c>
      <c r="G23" s="82"/>
      <c r="H23" s="69"/>
      <c r="I23" s="69"/>
      <c r="J23" s="82"/>
      <c r="K23" s="82"/>
      <c r="L23" s="43"/>
      <c r="M23" s="43"/>
      <c r="N23" s="82"/>
      <c r="O23" s="82"/>
      <c r="P23" s="43"/>
      <c r="Q23" s="43" t="s">
        <v>21</v>
      </c>
      <c r="R23" s="82"/>
      <c r="S23" s="69"/>
      <c r="T23" s="82"/>
    </row>
    <row r="24" spans="2:20" ht="60" customHeight="1" x14ac:dyDescent="0.35">
      <c r="B24" s="41" t="s">
        <v>550</v>
      </c>
      <c r="C24" s="80"/>
      <c r="D24" s="81"/>
      <c r="E24" s="81" t="s">
        <v>21</v>
      </c>
      <c r="F24" s="81" t="str">
        <f>IF(E24&lt;&gt;"", IFERROR(VLOOKUP(E24, Dashboard!$B52:$F57, 5, FALSE), ""), "")</f>
        <v/>
      </c>
      <c r="G24" s="82"/>
      <c r="H24" s="69"/>
      <c r="I24" s="69"/>
      <c r="J24" s="82"/>
      <c r="K24" s="82"/>
      <c r="L24" s="43"/>
      <c r="M24" s="43"/>
      <c r="N24" s="82"/>
      <c r="O24" s="82"/>
      <c r="P24" s="43"/>
      <c r="Q24" s="43" t="s">
        <v>21</v>
      </c>
      <c r="R24" s="82"/>
      <c r="S24" s="69"/>
      <c r="T24" s="82"/>
    </row>
    <row r="25" spans="2:20" ht="60" customHeight="1" x14ac:dyDescent="0.35">
      <c r="B25" s="41" t="s">
        <v>551</v>
      </c>
      <c r="C25" s="80"/>
      <c r="D25" s="81"/>
      <c r="E25" s="81" t="s">
        <v>21</v>
      </c>
      <c r="F25" s="81" t="str">
        <f>IF(E25&lt;&gt;"", IFERROR(VLOOKUP(E25, Dashboard!$B52:$F57, 5, FALSE), ""), "")</f>
        <v/>
      </c>
      <c r="G25" s="82"/>
      <c r="H25" s="69"/>
      <c r="I25" s="69"/>
      <c r="J25" s="82"/>
      <c r="K25" s="82"/>
      <c r="L25" s="43"/>
      <c r="M25" s="43"/>
      <c r="N25" s="82"/>
      <c r="O25" s="82"/>
      <c r="P25" s="43"/>
      <c r="Q25" s="43" t="s">
        <v>21</v>
      </c>
      <c r="R25" s="82"/>
      <c r="S25" s="69"/>
      <c r="T25" s="82"/>
    </row>
    <row r="26" spans="2:20" ht="60" customHeight="1" x14ac:dyDescent="0.35">
      <c r="B26" s="41" t="s">
        <v>552</v>
      </c>
      <c r="C26" s="80"/>
      <c r="D26" s="81"/>
      <c r="E26" s="81" t="s">
        <v>21</v>
      </c>
      <c r="F26" s="81" t="str">
        <f>IF(E26&lt;&gt;"", IFERROR(VLOOKUP(E26, Dashboard!$B52:$F57, 5, FALSE), ""), "")</f>
        <v/>
      </c>
      <c r="G26" s="82"/>
      <c r="H26" s="69"/>
      <c r="I26" s="69"/>
      <c r="J26" s="82"/>
      <c r="K26" s="82"/>
      <c r="L26" s="43"/>
      <c r="M26" s="43"/>
      <c r="N26" s="82"/>
      <c r="O26" s="82"/>
      <c r="P26" s="43"/>
      <c r="Q26" s="43" t="s">
        <v>21</v>
      </c>
      <c r="R26" s="82"/>
      <c r="S26" s="69"/>
      <c r="T26" s="82"/>
    </row>
    <row r="27" spans="2:20" ht="60" customHeight="1" x14ac:dyDescent="0.35">
      <c r="B27" s="41" t="s">
        <v>553</v>
      </c>
      <c r="C27" s="80"/>
      <c r="D27" s="81"/>
      <c r="E27" s="81" t="s">
        <v>21</v>
      </c>
      <c r="F27" s="81" t="str">
        <f>IF(E27&lt;&gt;"", IFERROR(VLOOKUP(E27, Dashboard!$B52:$F57, 5, FALSE), ""), "")</f>
        <v/>
      </c>
      <c r="G27" s="82"/>
      <c r="H27" s="69"/>
      <c r="I27" s="69"/>
      <c r="J27" s="82"/>
      <c r="K27" s="82"/>
      <c r="L27" s="43"/>
      <c r="M27" s="43"/>
      <c r="N27" s="82"/>
      <c r="O27" s="82"/>
      <c r="P27" s="43"/>
      <c r="Q27" s="43" t="s">
        <v>21</v>
      </c>
      <c r="R27" s="82"/>
      <c r="S27" s="69"/>
      <c r="T27" s="82"/>
    </row>
    <row r="28" spans="2:20" ht="60" customHeight="1" x14ac:dyDescent="0.35">
      <c r="B28" s="41" t="s">
        <v>554</v>
      </c>
      <c r="C28" s="80"/>
      <c r="D28" s="81"/>
      <c r="E28" s="81" t="s">
        <v>21</v>
      </c>
      <c r="F28" s="81" t="str">
        <f>IF(E28&lt;&gt;"", IFERROR(VLOOKUP(E28, Dashboard!$B52:$F57, 5, FALSE), ""), "")</f>
        <v/>
      </c>
      <c r="G28" s="82"/>
      <c r="H28" s="69"/>
      <c r="I28" s="69"/>
      <c r="J28" s="82"/>
      <c r="K28" s="82"/>
      <c r="L28" s="43"/>
      <c r="M28" s="43"/>
      <c r="N28" s="82"/>
      <c r="O28" s="82"/>
      <c r="P28" s="43"/>
      <c r="Q28" s="43" t="s">
        <v>21</v>
      </c>
      <c r="R28" s="82"/>
      <c r="S28" s="69"/>
      <c r="T28" s="82"/>
    </row>
    <row r="29" spans="2:20" ht="60" customHeight="1" x14ac:dyDescent="0.35">
      <c r="B29" s="41" t="s">
        <v>555</v>
      </c>
      <c r="C29" s="80"/>
      <c r="D29" s="81"/>
      <c r="E29" s="81" t="s">
        <v>21</v>
      </c>
      <c r="F29" s="81" t="str">
        <f>IF(E29&lt;&gt;"", IFERROR(VLOOKUP(E29, Dashboard!$B52:$F57, 5, FALSE), ""), "")</f>
        <v/>
      </c>
      <c r="G29" s="82"/>
      <c r="H29" s="69"/>
      <c r="I29" s="69"/>
      <c r="J29" s="82"/>
      <c r="K29" s="82"/>
      <c r="L29" s="43"/>
      <c r="M29" s="43"/>
      <c r="N29" s="82"/>
      <c r="O29" s="82"/>
      <c r="P29" s="43"/>
      <c r="Q29" s="43" t="s">
        <v>21</v>
      </c>
      <c r="R29" s="82"/>
      <c r="S29" s="69"/>
      <c r="T29" s="82"/>
    </row>
    <row r="30" spans="2:20" ht="60" customHeight="1" x14ac:dyDescent="0.35">
      <c r="B30" s="41" t="s">
        <v>556</v>
      </c>
      <c r="C30" s="80"/>
      <c r="D30" s="81"/>
      <c r="E30" s="81" t="s">
        <v>21</v>
      </c>
      <c r="F30" s="81" t="str">
        <f>IF(E30&lt;&gt;"", IFERROR(VLOOKUP(E30, Dashboard!$B52:$F57, 5, FALSE), ""), "")</f>
        <v/>
      </c>
      <c r="G30" s="82"/>
      <c r="H30" s="69"/>
      <c r="I30" s="69"/>
      <c r="J30" s="82"/>
      <c r="K30" s="82"/>
      <c r="L30" s="43"/>
      <c r="M30" s="43"/>
      <c r="N30" s="82"/>
      <c r="O30" s="82"/>
      <c r="P30" s="43"/>
      <c r="Q30" s="43" t="s">
        <v>21</v>
      </c>
      <c r="R30" s="82"/>
      <c r="S30" s="69"/>
      <c r="T30" s="82"/>
    </row>
    <row r="31" spans="2:20" ht="60" customHeight="1" x14ac:dyDescent="0.35">
      <c r="B31" s="41" t="s">
        <v>557</v>
      </c>
      <c r="C31" s="80"/>
      <c r="D31" s="81"/>
      <c r="E31" s="81" t="s">
        <v>21</v>
      </c>
      <c r="F31" s="81" t="str">
        <f>IF(E31&lt;&gt;"", IFERROR(VLOOKUP(E31, Dashboard!$B52:$F57, 5, FALSE), ""), "")</f>
        <v/>
      </c>
      <c r="G31" s="82"/>
      <c r="H31" s="69"/>
      <c r="I31" s="69"/>
      <c r="J31" s="82"/>
      <c r="K31" s="82"/>
      <c r="L31" s="43"/>
      <c r="M31" s="43"/>
      <c r="N31" s="82"/>
      <c r="O31" s="82"/>
      <c r="P31" s="43"/>
      <c r="Q31" s="43" t="s">
        <v>21</v>
      </c>
      <c r="R31" s="82"/>
      <c r="S31" s="69"/>
      <c r="T31" s="82"/>
    </row>
    <row r="32" spans="2:20" ht="60" customHeight="1" x14ac:dyDescent="0.35">
      <c r="B32" s="41" t="s">
        <v>558</v>
      </c>
      <c r="C32" s="80"/>
      <c r="D32" s="81"/>
      <c r="E32" s="81" t="s">
        <v>21</v>
      </c>
      <c r="F32" s="81" t="str">
        <f>IF(E32&lt;&gt;"", IFERROR(VLOOKUP(E32, Dashboard!$B52:$F57, 5, FALSE), ""), "")</f>
        <v/>
      </c>
      <c r="G32" s="82"/>
      <c r="H32" s="69"/>
      <c r="I32" s="69"/>
      <c r="J32" s="82"/>
      <c r="K32" s="82"/>
      <c r="L32" s="43"/>
      <c r="M32" s="43"/>
      <c r="N32" s="82"/>
      <c r="O32" s="82"/>
      <c r="P32" s="43"/>
      <c r="Q32" s="43" t="s">
        <v>21</v>
      </c>
      <c r="R32" s="82"/>
      <c r="S32" s="69"/>
      <c r="T32" s="82"/>
    </row>
    <row r="33" spans="2:20" ht="60" customHeight="1" x14ac:dyDescent="0.35">
      <c r="B33" s="41" t="s">
        <v>559</v>
      </c>
      <c r="C33" s="80"/>
      <c r="D33" s="81"/>
      <c r="E33" s="81" t="s">
        <v>21</v>
      </c>
      <c r="F33" s="81" t="str">
        <f>IF(E33&lt;&gt;"", IFERROR(VLOOKUP(E33, Dashboard!$B52:$F57, 5, FALSE), ""), "")</f>
        <v/>
      </c>
      <c r="G33" s="82"/>
      <c r="H33" s="69"/>
      <c r="I33" s="69"/>
      <c r="J33" s="82"/>
      <c r="K33" s="82"/>
      <c r="L33" s="43"/>
      <c r="M33" s="43"/>
      <c r="N33" s="82"/>
      <c r="O33" s="82"/>
      <c r="P33" s="43"/>
      <c r="Q33" s="43" t="s">
        <v>21</v>
      </c>
      <c r="R33" s="82"/>
      <c r="S33" s="69"/>
      <c r="T33" s="82"/>
    </row>
    <row r="34" spans="2:20" ht="60" customHeight="1" x14ac:dyDescent="0.35">
      <c r="B34" s="41" t="s">
        <v>560</v>
      </c>
      <c r="C34" s="80"/>
      <c r="D34" s="81"/>
      <c r="E34" s="81" t="s">
        <v>21</v>
      </c>
      <c r="F34" s="81" t="str">
        <f>IF(E34&lt;&gt;"", IFERROR(VLOOKUP(E34, Dashboard!$B52:$F57, 5, FALSE), ""), "")</f>
        <v/>
      </c>
      <c r="G34" s="82"/>
      <c r="H34" s="69"/>
      <c r="I34" s="69"/>
      <c r="J34" s="82"/>
      <c r="K34" s="82"/>
      <c r="L34" s="43"/>
      <c r="M34" s="43"/>
      <c r="N34" s="82"/>
      <c r="O34" s="82"/>
      <c r="P34" s="43"/>
      <c r="Q34" s="43" t="s">
        <v>21</v>
      </c>
      <c r="R34" s="82"/>
      <c r="S34" s="69"/>
      <c r="T34" s="82"/>
    </row>
    <row r="35" spans="2:20" ht="60" customHeight="1" x14ac:dyDescent="0.35">
      <c r="B35" s="41" t="s">
        <v>561</v>
      </c>
      <c r="C35" s="80"/>
      <c r="D35" s="81"/>
      <c r="E35" s="81" t="s">
        <v>21</v>
      </c>
      <c r="F35" s="81" t="str">
        <f>IF(E35&lt;&gt;"", IFERROR(VLOOKUP(E35, Dashboard!$B52:$F57, 5, FALSE), ""), "")</f>
        <v/>
      </c>
      <c r="G35" s="82"/>
      <c r="H35" s="69"/>
      <c r="I35" s="69"/>
      <c r="J35" s="82"/>
      <c r="K35" s="82"/>
      <c r="L35" s="43"/>
      <c r="M35" s="43"/>
      <c r="N35" s="82"/>
      <c r="O35" s="82"/>
      <c r="P35" s="43"/>
      <c r="Q35" s="43" t="s">
        <v>21</v>
      </c>
      <c r="R35" s="82"/>
      <c r="S35" s="69"/>
      <c r="T35" s="82"/>
    </row>
    <row r="36" spans="2:20" ht="60" customHeight="1" x14ac:dyDescent="0.35">
      <c r="B36" s="41" t="s">
        <v>562</v>
      </c>
      <c r="C36" s="80"/>
      <c r="D36" s="81"/>
      <c r="E36" s="81" t="s">
        <v>21</v>
      </c>
      <c r="F36" s="81" t="str">
        <f>IF(E36&lt;&gt;"", IFERROR(VLOOKUP(E36, Dashboard!$B52:$F57, 5, FALSE), ""), "")</f>
        <v/>
      </c>
      <c r="G36" s="82"/>
      <c r="H36" s="69"/>
      <c r="I36" s="69"/>
      <c r="J36" s="82"/>
      <c r="K36" s="82"/>
      <c r="L36" s="43"/>
      <c r="M36" s="43"/>
      <c r="N36" s="82"/>
      <c r="O36" s="82"/>
      <c r="P36" s="43"/>
      <c r="Q36" s="43" t="s">
        <v>21</v>
      </c>
      <c r="R36" s="82"/>
      <c r="S36" s="69"/>
      <c r="T36" s="82"/>
    </row>
    <row r="37" spans="2:20" ht="60" customHeight="1" x14ac:dyDescent="0.35">
      <c r="B37" s="41" t="s">
        <v>563</v>
      </c>
      <c r="C37" s="80"/>
      <c r="D37" s="81"/>
      <c r="E37" s="81" t="s">
        <v>21</v>
      </c>
      <c r="F37" s="81" t="str">
        <f>IF(E37&lt;&gt;"", IFERROR(VLOOKUP(E37, Dashboard!$B52:$F57, 5, FALSE), ""), "")</f>
        <v/>
      </c>
      <c r="G37" s="82"/>
      <c r="H37" s="69"/>
      <c r="I37" s="69"/>
      <c r="J37" s="82"/>
      <c r="K37" s="82"/>
      <c r="L37" s="43"/>
      <c r="M37" s="43"/>
      <c r="N37" s="82"/>
      <c r="O37" s="82"/>
      <c r="P37" s="43"/>
      <c r="Q37" s="43" t="s">
        <v>21</v>
      </c>
      <c r="R37" s="82"/>
      <c r="S37" s="69"/>
      <c r="T37" s="82"/>
    </row>
    <row r="38" spans="2:20" ht="60" customHeight="1" x14ac:dyDescent="0.35">
      <c r="B38" s="41" t="s">
        <v>564</v>
      </c>
      <c r="C38" s="80"/>
      <c r="D38" s="81"/>
      <c r="E38" s="81" t="s">
        <v>21</v>
      </c>
      <c r="F38" s="81" t="str">
        <f>IF(E38&lt;&gt;"", IFERROR(VLOOKUP(E38, Dashboard!$B52:$F57, 5, FALSE), ""), "")</f>
        <v/>
      </c>
      <c r="G38" s="82"/>
      <c r="H38" s="69"/>
      <c r="I38" s="69"/>
      <c r="J38" s="82"/>
      <c r="K38" s="82"/>
      <c r="L38" s="43"/>
      <c r="M38" s="43"/>
      <c r="N38" s="82"/>
      <c r="O38" s="82"/>
      <c r="P38" s="43"/>
      <c r="Q38" s="43" t="s">
        <v>21</v>
      </c>
      <c r="R38" s="82"/>
      <c r="S38" s="69"/>
      <c r="T38" s="82"/>
    </row>
    <row r="39" spans="2:20" ht="60" customHeight="1" x14ac:dyDescent="0.35">
      <c r="B39" s="41" t="s">
        <v>565</v>
      </c>
      <c r="C39" s="80"/>
      <c r="D39" s="81"/>
      <c r="E39" s="81" t="s">
        <v>21</v>
      </c>
      <c r="F39" s="81" t="str">
        <f>IF(E39&lt;&gt;"", IFERROR(VLOOKUP(E39, Dashboard!$B52:$F57, 5, FALSE), ""), "")</f>
        <v/>
      </c>
      <c r="G39" s="82"/>
      <c r="H39" s="69"/>
      <c r="I39" s="69"/>
      <c r="J39" s="82"/>
      <c r="K39" s="82"/>
      <c r="L39" s="43"/>
      <c r="M39" s="43"/>
      <c r="N39" s="82"/>
      <c r="O39" s="82"/>
      <c r="P39" s="43"/>
      <c r="Q39" s="43" t="s">
        <v>21</v>
      </c>
      <c r="R39" s="82"/>
      <c r="S39" s="69"/>
      <c r="T39" s="82"/>
    </row>
    <row r="40" spans="2:20" ht="60" customHeight="1" x14ac:dyDescent="0.35">
      <c r="B40" s="41" t="s">
        <v>566</v>
      </c>
      <c r="C40" s="80"/>
      <c r="D40" s="81"/>
      <c r="E40" s="81" t="s">
        <v>21</v>
      </c>
      <c r="F40" s="81" t="str">
        <f>IF(E40&lt;&gt;"", IFERROR(VLOOKUP(E40, Dashboard!$B52:$F57, 5, FALSE), ""), "")</f>
        <v/>
      </c>
      <c r="G40" s="82"/>
      <c r="H40" s="69"/>
      <c r="I40" s="69"/>
      <c r="J40" s="82"/>
      <c r="K40" s="82"/>
      <c r="L40" s="43"/>
      <c r="M40" s="43"/>
      <c r="N40" s="82"/>
      <c r="O40" s="82"/>
      <c r="P40" s="43"/>
      <c r="Q40" s="43" t="s">
        <v>21</v>
      </c>
      <c r="R40" s="82"/>
      <c r="S40" s="69"/>
      <c r="T40" s="82"/>
    </row>
    <row r="41" spans="2:20" ht="60" customHeight="1" x14ac:dyDescent="0.35">
      <c r="B41" s="41" t="s">
        <v>567</v>
      </c>
      <c r="C41" s="80"/>
      <c r="D41" s="81"/>
      <c r="E41" s="81" t="s">
        <v>21</v>
      </c>
      <c r="F41" s="81" t="str">
        <f>IF(E41&lt;&gt;"", IFERROR(VLOOKUP(E41, Dashboard!$B52:$F57, 5, FALSE), ""), "")</f>
        <v/>
      </c>
      <c r="G41" s="82"/>
      <c r="H41" s="69"/>
      <c r="I41" s="69"/>
      <c r="J41" s="82"/>
      <c r="K41" s="82"/>
      <c r="L41" s="43"/>
      <c r="M41" s="43"/>
      <c r="N41" s="82"/>
      <c r="O41" s="82"/>
      <c r="P41" s="43"/>
      <c r="Q41" s="43" t="s">
        <v>21</v>
      </c>
      <c r="R41" s="82"/>
      <c r="S41" s="69"/>
      <c r="T41" s="82"/>
    </row>
    <row r="42" spans="2:20" ht="60" customHeight="1" x14ac:dyDescent="0.35">
      <c r="B42" s="41" t="s">
        <v>568</v>
      </c>
      <c r="C42" s="80"/>
      <c r="D42" s="81"/>
      <c r="E42" s="81" t="s">
        <v>21</v>
      </c>
      <c r="F42" s="81" t="str">
        <f>IF(E42&lt;&gt;"", IFERROR(VLOOKUP(E42, Dashboard!$B52:$F57, 5, FALSE), ""), "")</f>
        <v/>
      </c>
      <c r="G42" s="82"/>
      <c r="H42" s="69"/>
      <c r="I42" s="69"/>
      <c r="J42" s="82"/>
      <c r="K42" s="82"/>
      <c r="L42" s="43"/>
      <c r="M42" s="43"/>
      <c r="N42" s="82"/>
      <c r="O42" s="82"/>
      <c r="P42" s="43"/>
      <c r="Q42" s="43" t="s">
        <v>21</v>
      </c>
      <c r="R42" s="82"/>
      <c r="S42" s="69"/>
      <c r="T42" s="82"/>
    </row>
    <row r="43" spans="2:20" ht="60" customHeight="1" x14ac:dyDescent="0.35">
      <c r="B43" s="41" t="s">
        <v>569</v>
      </c>
      <c r="C43" s="80"/>
      <c r="D43" s="81"/>
      <c r="E43" s="81" t="s">
        <v>21</v>
      </c>
      <c r="F43" s="81" t="str">
        <f>IF(E43&lt;&gt;"", IFERROR(VLOOKUP(E43, Dashboard!$B52:$F57, 5, FALSE), ""), "")</f>
        <v/>
      </c>
      <c r="G43" s="82"/>
      <c r="H43" s="69"/>
      <c r="I43" s="69"/>
      <c r="J43" s="82"/>
      <c r="K43" s="82"/>
      <c r="L43" s="43"/>
      <c r="M43" s="43"/>
      <c r="N43" s="82"/>
      <c r="O43" s="82"/>
      <c r="P43" s="43"/>
      <c r="Q43" s="43" t="s">
        <v>21</v>
      </c>
      <c r="R43" s="82"/>
      <c r="S43" s="69"/>
      <c r="T43" s="82"/>
    </row>
    <row r="44" spans="2:20" ht="60" customHeight="1" x14ac:dyDescent="0.35">
      <c r="B44" s="41" t="s">
        <v>570</v>
      </c>
      <c r="C44" s="80"/>
      <c r="D44" s="81"/>
      <c r="E44" s="81" t="s">
        <v>21</v>
      </c>
      <c r="F44" s="81" t="str">
        <f>IF(E44&lt;&gt;"", IFERROR(VLOOKUP(E44, Dashboard!$B52:$F57, 5, FALSE), ""), "")</f>
        <v/>
      </c>
      <c r="G44" s="82"/>
      <c r="H44" s="69"/>
      <c r="I44" s="69"/>
      <c r="J44" s="82"/>
      <c r="K44" s="82"/>
      <c r="L44" s="43"/>
      <c r="M44" s="43"/>
      <c r="N44" s="82"/>
      <c r="O44" s="82"/>
      <c r="P44" s="43"/>
      <c r="Q44" s="43" t="s">
        <v>21</v>
      </c>
      <c r="R44" s="82"/>
      <c r="S44" s="69"/>
      <c r="T44" s="82"/>
    </row>
    <row r="45" spans="2:20" ht="60" customHeight="1" x14ac:dyDescent="0.35">
      <c r="B45" s="41" t="s">
        <v>571</v>
      </c>
      <c r="C45" s="80"/>
      <c r="D45" s="81"/>
      <c r="E45" s="81" t="s">
        <v>21</v>
      </c>
      <c r="F45" s="81" t="str">
        <f>IF(E45&lt;&gt;"", IFERROR(VLOOKUP(E45, Dashboard!$B52:$F57, 5, FALSE), ""), "")</f>
        <v/>
      </c>
      <c r="G45" s="82"/>
      <c r="H45" s="69"/>
      <c r="I45" s="69"/>
      <c r="J45" s="82"/>
      <c r="K45" s="82"/>
      <c r="L45" s="43"/>
      <c r="M45" s="43"/>
      <c r="N45" s="82"/>
      <c r="O45" s="82"/>
      <c r="P45" s="43"/>
      <c r="Q45" s="43" t="s">
        <v>21</v>
      </c>
      <c r="R45" s="82"/>
      <c r="S45" s="69"/>
      <c r="T45" s="82"/>
    </row>
    <row r="46" spans="2:20" ht="60" customHeight="1" x14ac:dyDescent="0.35">
      <c r="B46" s="41" t="s">
        <v>572</v>
      </c>
      <c r="C46" s="80"/>
      <c r="D46" s="81"/>
      <c r="E46" s="81" t="s">
        <v>21</v>
      </c>
      <c r="F46" s="81" t="str">
        <f>IF(E46&lt;&gt;"", IFERROR(VLOOKUP(E46, Dashboard!$B52:$F57, 5, FALSE), ""), "")</f>
        <v/>
      </c>
      <c r="G46" s="82"/>
      <c r="H46" s="69"/>
      <c r="I46" s="69"/>
      <c r="J46" s="82"/>
      <c r="K46" s="82"/>
      <c r="L46" s="43"/>
      <c r="M46" s="43"/>
      <c r="N46" s="82"/>
      <c r="O46" s="82"/>
      <c r="P46" s="43"/>
      <c r="Q46" s="43" t="s">
        <v>21</v>
      </c>
      <c r="R46" s="82"/>
      <c r="S46" s="69"/>
      <c r="T46" s="82"/>
    </row>
    <row r="47" spans="2:20" ht="60" customHeight="1" x14ac:dyDescent="0.35">
      <c r="B47" s="41" t="s">
        <v>573</v>
      </c>
      <c r="C47" s="80"/>
      <c r="D47" s="81"/>
      <c r="E47" s="81" t="s">
        <v>21</v>
      </c>
      <c r="F47" s="81" t="str">
        <f>IF(E47&lt;&gt;"", IFERROR(VLOOKUP(E47, Dashboard!$B52:$F57, 5, FALSE), ""), "")</f>
        <v/>
      </c>
      <c r="G47" s="82"/>
      <c r="H47" s="69"/>
      <c r="I47" s="69"/>
      <c r="J47" s="82"/>
      <c r="K47" s="82"/>
      <c r="L47" s="43"/>
      <c r="M47" s="43"/>
      <c r="N47" s="82"/>
      <c r="O47" s="82"/>
      <c r="P47" s="43"/>
      <c r="Q47" s="43" t="s">
        <v>21</v>
      </c>
      <c r="R47" s="82"/>
      <c r="S47" s="69"/>
      <c r="T47" s="82"/>
    </row>
    <row r="48" spans="2:20" ht="60" customHeight="1" x14ac:dyDescent="0.35">
      <c r="B48" s="41" t="s">
        <v>574</v>
      </c>
      <c r="C48" s="80"/>
      <c r="D48" s="81"/>
      <c r="E48" s="81" t="s">
        <v>21</v>
      </c>
      <c r="F48" s="81" t="str">
        <f>IF(E48&lt;&gt;"", IFERROR(VLOOKUP(E48, Dashboard!$B52:$F57, 5, FALSE), ""), "")</f>
        <v/>
      </c>
      <c r="G48" s="82"/>
      <c r="H48" s="69"/>
      <c r="I48" s="69"/>
      <c r="J48" s="82"/>
      <c r="K48" s="82"/>
      <c r="L48" s="43"/>
      <c r="M48" s="43"/>
      <c r="N48" s="82"/>
      <c r="O48" s="82"/>
      <c r="P48" s="43"/>
      <c r="Q48" s="43" t="s">
        <v>21</v>
      </c>
      <c r="R48" s="82"/>
      <c r="S48" s="69"/>
      <c r="T48" s="82"/>
    </row>
    <row r="49" spans="2:20" ht="60" customHeight="1" x14ac:dyDescent="0.35">
      <c r="B49" s="41" t="s">
        <v>575</v>
      </c>
      <c r="C49" s="80"/>
      <c r="D49" s="81"/>
      <c r="E49" s="81" t="s">
        <v>21</v>
      </c>
      <c r="F49" s="81" t="str">
        <f>IF(E49&lt;&gt;"", IFERROR(VLOOKUP(E49, Dashboard!$B52:$F57, 5, FALSE), ""), "")</f>
        <v/>
      </c>
      <c r="G49" s="82"/>
      <c r="H49" s="69"/>
      <c r="I49" s="69"/>
      <c r="J49" s="82"/>
      <c r="K49" s="82"/>
      <c r="L49" s="43"/>
      <c r="M49" s="43"/>
      <c r="N49" s="82"/>
      <c r="O49" s="82"/>
      <c r="P49" s="43"/>
      <c r="Q49" s="43" t="s">
        <v>21</v>
      </c>
      <c r="R49" s="82"/>
      <c r="S49" s="69"/>
      <c r="T49" s="82"/>
    </row>
    <row r="50" spans="2:20" ht="60" customHeight="1" x14ac:dyDescent="0.35">
      <c r="B50" s="41" t="s">
        <v>576</v>
      </c>
      <c r="C50" s="80"/>
      <c r="D50" s="81"/>
      <c r="E50" s="81" t="s">
        <v>21</v>
      </c>
      <c r="F50" s="81" t="str">
        <f>IF(E50&lt;&gt;"", IFERROR(VLOOKUP(E50, Dashboard!$B52:$F57, 5, FALSE), ""), "")</f>
        <v/>
      </c>
      <c r="G50" s="82"/>
      <c r="H50" s="69"/>
      <c r="I50" s="69"/>
      <c r="J50" s="82"/>
      <c r="K50" s="82"/>
      <c r="L50" s="43"/>
      <c r="M50" s="43"/>
      <c r="N50" s="82"/>
      <c r="O50" s="82"/>
      <c r="P50" s="43"/>
      <c r="Q50" s="43" t="s">
        <v>21</v>
      </c>
      <c r="R50" s="82"/>
      <c r="S50" s="69"/>
      <c r="T50" s="82"/>
    </row>
    <row r="51" spans="2:20" ht="60" customHeight="1" x14ac:dyDescent="0.35">
      <c r="B51" s="41" t="s">
        <v>577</v>
      </c>
      <c r="C51" s="80"/>
      <c r="D51" s="81"/>
      <c r="E51" s="81" t="s">
        <v>21</v>
      </c>
      <c r="F51" s="81" t="str">
        <f>IF(E51&lt;&gt;"", IFERROR(VLOOKUP(E51, Dashboard!$B52:$F57, 5, FALSE), ""), "")</f>
        <v/>
      </c>
      <c r="G51" s="82"/>
      <c r="H51" s="69"/>
      <c r="I51" s="69"/>
      <c r="J51" s="82"/>
      <c r="K51" s="82"/>
      <c r="L51" s="43"/>
      <c r="M51" s="43"/>
      <c r="N51" s="82"/>
      <c r="O51" s="82"/>
      <c r="P51" s="43"/>
      <c r="Q51" s="43" t="s">
        <v>21</v>
      </c>
      <c r="R51" s="82"/>
      <c r="S51" s="69"/>
      <c r="T51" s="82"/>
    </row>
    <row r="52" spans="2:20" ht="60" customHeight="1" x14ac:dyDescent="0.35">
      <c r="B52" s="41" t="s">
        <v>578</v>
      </c>
      <c r="C52" s="80"/>
      <c r="D52" s="81"/>
      <c r="E52" s="81" t="s">
        <v>21</v>
      </c>
      <c r="F52" s="81" t="str">
        <f>IF(E52&lt;&gt;"", IFERROR(VLOOKUP(E52, Dashboard!$B52:$F57, 5, FALSE), ""), "")</f>
        <v/>
      </c>
      <c r="G52" s="82"/>
      <c r="H52" s="69"/>
      <c r="I52" s="69"/>
      <c r="J52" s="82"/>
      <c r="K52" s="82"/>
      <c r="L52" s="43"/>
      <c r="M52" s="43"/>
      <c r="N52" s="82"/>
      <c r="O52" s="82"/>
      <c r="P52" s="43"/>
      <c r="Q52" s="43" t="s">
        <v>21</v>
      </c>
      <c r="R52" s="82"/>
      <c r="S52" s="69"/>
      <c r="T52" s="82"/>
    </row>
    <row r="53" spans="2:20" ht="60" customHeight="1" x14ac:dyDescent="0.35">
      <c r="B53" s="41" t="s">
        <v>579</v>
      </c>
      <c r="C53" s="80"/>
      <c r="D53" s="81"/>
      <c r="E53" s="81" t="s">
        <v>21</v>
      </c>
      <c r="F53" s="81" t="str">
        <f>IF(E53&lt;&gt;"", IFERROR(VLOOKUP(E53, Dashboard!$B52:$F57, 5, FALSE), ""), "")</f>
        <v/>
      </c>
      <c r="G53" s="82"/>
      <c r="H53" s="69"/>
      <c r="I53" s="69"/>
      <c r="J53" s="82"/>
      <c r="K53" s="82"/>
      <c r="L53" s="43"/>
      <c r="M53" s="43"/>
      <c r="N53" s="82"/>
      <c r="O53" s="82"/>
      <c r="P53" s="43"/>
      <c r="Q53" s="43" t="s">
        <v>21</v>
      </c>
      <c r="R53" s="82"/>
      <c r="S53" s="69"/>
      <c r="T53" s="82"/>
    </row>
    <row r="54" spans="2:20" ht="60" customHeight="1" x14ac:dyDescent="0.35">
      <c r="B54" s="41" t="s">
        <v>580</v>
      </c>
      <c r="C54" s="80"/>
      <c r="D54" s="81"/>
      <c r="E54" s="81" t="s">
        <v>21</v>
      </c>
      <c r="F54" s="81" t="str">
        <f>IF(E54&lt;&gt;"", IFERROR(VLOOKUP(E54, Dashboard!$B52:$F57,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334</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581</v>
      </c>
      <c r="B1" s="107" t="s">
        <v>0</v>
      </c>
      <c r="C1" s="107" t="s">
        <v>582</v>
      </c>
      <c r="D1" s="107" t="s">
        <v>10</v>
      </c>
      <c r="E1" s="107" t="s">
        <v>583</v>
      </c>
      <c r="F1" s="107" t="s">
        <v>584</v>
      </c>
      <c r="G1" s="107" t="s">
        <v>585</v>
      </c>
      <c r="H1" s="107" t="s">
        <v>586</v>
      </c>
      <c r="I1" s="107" t="s">
        <v>587</v>
      </c>
      <c r="J1" s="107" t="s">
        <v>588</v>
      </c>
      <c r="K1" s="107" t="s">
        <v>589</v>
      </c>
      <c r="L1" s="107" t="s">
        <v>590</v>
      </c>
      <c r="M1" s="107" t="s">
        <v>591</v>
      </c>
      <c r="N1" s="107" t="s">
        <v>592</v>
      </c>
      <c r="O1" s="107" t="s">
        <v>593</v>
      </c>
      <c r="P1" s="107" t="s">
        <v>594</v>
      </c>
      <c r="Q1" s="107" t="s">
        <v>595</v>
      </c>
      <c r="R1" s="107" t="s">
        <v>596</v>
      </c>
      <c r="S1" s="107" t="s">
        <v>597</v>
      </c>
      <c r="T1" s="107" t="s">
        <v>598</v>
      </c>
      <c r="U1" s="107" t="s">
        <v>599</v>
      </c>
      <c r="V1" s="107" t="s">
        <v>600</v>
      </c>
      <c r="W1" s="107" t="s">
        <v>601</v>
      </c>
      <c r="X1" s="107" t="s">
        <v>602</v>
      </c>
      <c r="Y1" s="107" t="s">
        <v>603</v>
      </c>
      <c r="Z1" s="107" t="s">
        <v>604</v>
      </c>
      <c r="AA1" s="107" t="s">
        <v>605</v>
      </c>
      <c r="AB1" s="107" t="s">
        <v>606</v>
      </c>
      <c r="AC1" s="107" t="s">
        <v>607</v>
      </c>
      <c r="AD1" s="107" t="s">
        <v>608</v>
      </c>
      <c r="AE1" s="107" t="s">
        <v>609</v>
      </c>
      <c r="AF1" s="107" t="s">
        <v>610</v>
      </c>
      <c r="AG1" s="107" t="s">
        <v>611</v>
      </c>
      <c r="AH1" s="107" t="s">
        <v>612</v>
      </c>
      <c r="AI1" s="107" t="s">
        <v>613</v>
      </c>
      <c r="AJ1" s="107" t="s">
        <v>614</v>
      </c>
      <c r="AK1" s="107" t="s">
        <v>615</v>
      </c>
      <c r="AL1" s="107" t="s">
        <v>616</v>
      </c>
      <c r="AM1" s="107" t="s">
        <v>617</v>
      </c>
      <c r="AN1" s="107" t="s">
        <v>618</v>
      </c>
      <c r="AO1" s="107" t="s">
        <v>619</v>
      </c>
      <c r="AP1" s="107" t="s">
        <v>620</v>
      </c>
      <c r="AQ1" s="107" t="s">
        <v>621</v>
      </c>
      <c r="AR1" s="107" t="s">
        <v>622</v>
      </c>
      <c r="AS1" s="107" t="s">
        <v>623</v>
      </c>
      <c r="AT1" s="107" t="s">
        <v>624</v>
      </c>
      <c r="AU1" s="107" t="s">
        <v>625</v>
      </c>
      <c r="AV1" s="107" t="s">
        <v>626</v>
      </c>
      <c r="AW1" s="108" t="s">
        <v>627</v>
      </c>
    </row>
    <row r="2" spans="1:49" ht="60" customHeight="1" outlineLevel="1" x14ac:dyDescent="0.35">
      <c r="A2" s="100" t="s">
        <v>628</v>
      </c>
      <c r="B2" s="83">
        <v>1</v>
      </c>
      <c r="C2" s="85" t="s">
        <v>21</v>
      </c>
      <c r="D2" s="87" t="s">
        <v>629</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628</v>
      </c>
      <c r="B3" s="84" t="s">
        <v>630</v>
      </c>
      <c r="C3" s="86" t="s">
        <v>631</v>
      </c>
      <c r="D3" s="88" t="s">
        <v>632</v>
      </c>
      <c r="E3" s="88" t="s">
        <v>633</v>
      </c>
      <c r="F3" s="89" t="s">
        <v>634</v>
      </c>
      <c r="G3" s="89" t="s">
        <v>635</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628</v>
      </c>
      <c r="B4" s="84" t="s">
        <v>636</v>
      </c>
      <c r="C4" s="86" t="s">
        <v>637</v>
      </c>
      <c r="D4" s="88" t="s">
        <v>638</v>
      </c>
      <c r="E4" s="88" t="s">
        <v>639</v>
      </c>
      <c r="F4" s="89" t="s">
        <v>634</v>
      </c>
      <c r="G4" s="89" t="s">
        <v>640</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628</v>
      </c>
      <c r="B5" s="84" t="s">
        <v>641</v>
      </c>
      <c r="C5" s="86" t="s">
        <v>642</v>
      </c>
      <c r="D5" s="88" t="s">
        <v>643</v>
      </c>
      <c r="E5" s="88" t="s">
        <v>644</v>
      </c>
      <c r="F5" s="89" t="s">
        <v>634</v>
      </c>
      <c r="G5" s="89" t="s">
        <v>645</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628</v>
      </c>
      <c r="B6" s="84" t="s">
        <v>646</v>
      </c>
      <c r="C6" s="86" t="s">
        <v>647</v>
      </c>
      <c r="D6" s="88" t="s">
        <v>648</v>
      </c>
      <c r="E6" s="88" t="s">
        <v>649</v>
      </c>
      <c r="F6" s="89" t="s">
        <v>634</v>
      </c>
      <c r="G6" s="89" t="s">
        <v>635</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628</v>
      </c>
      <c r="B7" s="84" t="s">
        <v>650</v>
      </c>
      <c r="C7" s="86" t="s">
        <v>651</v>
      </c>
      <c r="D7" s="88" t="s">
        <v>652</v>
      </c>
      <c r="E7" s="88" t="s">
        <v>653</v>
      </c>
      <c r="F7" s="89" t="s">
        <v>634</v>
      </c>
      <c r="G7" s="89" t="s">
        <v>645</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654</v>
      </c>
      <c r="B8" s="83">
        <v>2</v>
      </c>
      <c r="C8" s="85" t="s">
        <v>21</v>
      </c>
      <c r="D8" s="87" t="s">
        <v>655</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654</v>
      </c>
      <c r="B9" s="84" t="s">
        <v>656</v>
      </c>
      <c r="C9" s="86" t="s">
        <v>657</v>
      </c>
      <c r="D9" s="88" t="s">
        <v>658</v>
      </c>
      <c r="E9" s="88" t="s">
        <v>659</v>
      </c>
      <c r="F9" s="89" t="s">
        <v>660</v>
      </c>
      <c r="G9" s="89" t="s">
        <v>635</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654</v>
      </c>
      <c r="B10" s="84" t="s">
        <v>661</v>
      </c>
      <c r="C10" s="86" t="s">
        <v>662</v>
      </c>
      <c r="D10" s="88" t="s">
        <v>663</v>
      </c>
      <c r="E10" s="88" t="s">
        <v>664</v>
      </c>
      <c r="F10" s="89" t="s">
        <v>660</v>
      </c>
      <c r="G10" s="89" t="s">
        <v>635</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654</v>
      </c>
      <c r="B11" s="84" t="s">
        <v>665</v>
      </c>
      <c r="C11" s="86" t="s">
        <v>666</v>
      </c>
      <c r="D11" s="88" t="s">
        <v>667</v>
      </c>
      <c r="E11" s="88" t="s">
        <v>668</v>
      </c>
      <c r="F11" s="89" t="s">
        <v>660</v>
      </c>
      <c r="G11" s="89" t="s">
        <v>640</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654</v>
      </c>
      <c r="B12" s="84" t="s">
        <v>669</v>
      </c>
      <c r="C12" s="86" t="s">
        <v>670</v>
      </c>
      <c r="D12" s="88" t="s">
        <v>671</v>
      </c>
      <c r="E12" s="88" t="s">
        <v>672</v>
      </c>
      <c r="F12" s="89" t="s">
        <v>660</v>
      </c>
      <c r="G12" s="89" t="s">
        <v>645</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654</v>
      </c>
      <c r="B13" s="84" t="s">
        <v>673</v>
      </c>
      <c r="C13" s="86" t="s">
        <v>674</v>
      </c>
      <c r="D13" s="88" t="s">
        <v>675</v>
      </c>
      <c r="E13" s="88" t="s">
        <v>676</v>
      </c>
      <c r="F13" s="89" t="s">
        <v>660</v>
      </c>
      <c r="G13" s="89" t="s">
        <v>677</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654</v>
      </c>
      <c r="B14" s="84" t="s">
        <v>678</v>
      </c>
      <c r="C14" s="86" t="s">
        <v>679</v>
      </c>
      <c r="D14" s="88" t="s">
        <v>680</v>
      </c>
      <c r="E14" s="88" t="s">
        <v>681</v>
      </c>
      <c r="F14" s="89" t="s">
        <v>660</v>
      </c>
      <c r="G14" s="89" t="s">
        <v>677</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654</v>
      </c>
      <c r="B15" s="84" t="s">
        <v>682</v>
      </c>
      <c r="C15" s="86" t="s">
        <v>683</v>
      </c>
      <c r="D15" s="88" t="s">
        <v>684</v>
      </c>
      <c r="E15" s="88" t="s">
        <v>685</v>
      </c>
      <c r="F15" s="89" t="s">
        <v>660</v>
      </c>
      <c r="G15" s="89" t="s">
        <v>677</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686</v>
      </c>
      <c r="B16" s="83">
        <v>3</v>
      </c>
      <c r="C16" s="85" t="s">
        <v>21</v>
      </c>
      <c r="D16" s="87" t="s">
        <v>687</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686</v>
      </c>
      <c r="B17" s="84" t="s">
        <v>688</v>
      </c>
      <c r="C17" s="86" t="s">
        <v>689</v>
      </c>
      <c r="D17" s="88" t="s">
        <v>690</v>
      </c>
      <c r="E17" s="88" t="s">
        <v>691</v>
      </c>
      <c r="F17" s="89" t="s">
        <v>692</v>
      </c>
      <c r="G17" s="89" t="s">
        <v>693</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686</v>
      </c>
      <c r="B18" s="84" t="s">
        <v>694</v>
      </c>
      <c r="C18" s="86" t="s">
        <v>695</v>
      </c>
      <c r="D18" s="88" t="s">
        <v>696</v>
      </c>
      <c r="E18" s="88" t="s">
        <v>697</v>
      </c>
      <c r="F18" s="89" t="s">
        <v>692</v>
      </c>
      <c r="G18" s="89" t="s">
        <v>635</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686</v>
      </c>
      <c r="B19" s="84" t="s">
        <v>698</v>
      </c>
      <c r="C19" s="86" t="s">
        <v>699</v>
      </c>
      <c r="D19" s="88" t="s">
        <v>700</v>
      </c>
      <c r="E19" s="88" t="s">
        <v>701</v>
      </c>
      <c r="F19" s="89" t="s">
        <v>692</v>
      </c>
      <c r="G19" s="89" t="s">
        <v>677</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686</v>
      </c>
      <c r="B20" s="84" t="s">
        <v>702</v>
      </c>
      <c r="C20" s="86" t="s">
        <v>703</v>
      </c>
      <c r="D20" s="88" t="s">
        <v>704</v>
      </c>
      <c r="E20" s="88" t="s">
        <v>705</v>
      </c>
      <c r="F20" s="89" t="s">
        <v>692</v>
      </c>
      <c r="G20" s="89" t="s">
        <v>677</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686</v>
      </c>
      <c r="B21" s="84" t="s">
        <v>706</v>
      </c>
      <c r="C21" s="86" t="s">
        <v>707</v>
      </c>
      <c r="D21" s="88" t="s">
        <v>708</v>
      </c>
      <c r="E21" s="88" t="s">
        <v>709</v>
      </c>
      <c r="F21" s="89" t="s">
        <v>692</v>
      </c>
      <c r="G21" s="89" t="s">
        <v>677</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686</v>
      </c>
      <c r="B22" s="84" t="s">
        <v>710</v>
      </c>
      <c r="C22" s="86" t="s">
        <v>711</v>
      </c>
      <c r="D22" s="88" t="s">
        <v>712</v>
      </c>
      <c r="E22" s="88" t="s">
        <v>713</v>
      </c>
      <c r="F22" s="89" t="s">
        <v>692</v>
      </c>
      <c r="G22" s="89" t="s">
        <v>677</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686</v>
      </c>
      <c r="B23" s="84" t="s">
        <v>714</v>
      </c>
      <c r="C23" s="86" t="s">
        <v>715</v>
      </c>
      <c r="D23" s="88" t="s">
        <v>716</v>
      </c>
      <c r="E23" s="88" t="s">
        <v>717</v>
      </c>
      <c r="F23" s="89" t="s">
        <v>692</v>
      </c>
      <c r="G23" s="89" t="s">
        <v>635</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686</v>
      </c>
      <c r="B24" s="84" t="s">
        <v>718</v>
      </c>
      <c r="C24" s="86" t="s">
        <v>719</v>
      </c>
      <c r="D24" s="88" t="s">
        <v>720</v>
      </c>
      <c r="E24" s="88" t="s">
        <v>721</v>
      </c>
      <c r="F24" s="89" t="s">
        <v>692</v>
      </c>
      <c r="G24" s="89" t="s">
        <v>635</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686</v>
      </c>
      <c r="B25" s="84" t="s">
        <v>722</v>
      </c>
      <c r="C25" s="86" t="s">
        <v>723</v>
      </c>
      <c r="D25" s="88" t="s">
        <v>724</v>
      </c>
      <c r="E25" s="88" t="s">
        <v>725</v>
      </c>
      <c r="F25" s="89" t="s">
        <v>692</v>
      </c>
      <c r="G25" s="89" t="s">
        <v>677</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686</v>
      </c>
      <c r="B26" s="84" t="s">
        <v>726</v>
      </c>
      <c r="C26" s="86" t="s">
        <v>727</v>
      </c>
      <c r="D26" s="88" t="s">
        <v>728</v>
      </c>
      <c r="E26" s="88" t="s">
        <v>729</v>
      </c>
      <c r="F26" s="89" t="s">
        <v>692</v>
      </c>
      <c r="G26" s="89" t="s">
        <v>677</v>
      </c>
      <c r="H26" s="89">
        <v>2</v>
      </c>
      <c r="I26" s="91">
        <f>IF(COUNTIF(J26:AW26,"&lt;&gt;")=0,"",SUMPRODUCT(((Recommendations[ImplStatus]="Implemented")+(Recommendations[ImplStatus]="Compensated"))*ISNUMBER(MATCH(Recommendations[Id],J26:AW26,0)))/COUNTIF(J26:AW26,"&lt;&gt;"))</f>
        <v>0</v>
      </c>
      <c r="J26" s="93" t="s">
        <v>56</v>
      </c>
      <c r="K26" s="93" t="s">
        <v>145</v>
      </c>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686</v>
      </c>
      <c r="B27" s="84" t="s">
        <v>730</v>
      </c>
      <c r="C27" s="86" t="s">
        <v>731</v>
      </c>
      <c r="D27" s="88" t="s">
        <v>732</v>
      </c>
      <c r="E27" s="88" t="s">
        <v>733</v>
      </c>
      <c r="F27" s="89" t="s">
        <v>692</v>
      </c>
      <c r="G27" s="89" t="s">
        <v>677</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686</v>
      </c>
      <c r="B28" s="84" t="s">
        <v>734</v>
      </c>
      <c r="C28" s="86" t="s">
        <v>735</v>
      </c>
      <c r="D28" s="88" t="s">
        <v>736</v>
      </c>
      <c r="E28" s="88" t="s">
        <v>737</v>
      </c>
      <c r="F28" s="89" t="s">
        <v>692</v>
      </c>
      <c r="G28" s="89" t="s">
        <v>677</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686</v>
      </c>
      <c r="B29" s="84" t="s">
        <v>738</v>
      </c>
      <c r="C29" s="86" t="s">
        <v>739</v>
      </c>
      <c r="D29" s="88" t="s">
        <v>740</v>
      </c>
      <c r="E29" s="88" t="s">
        <v>741</v>
      </c>
      <c r="F29" s="89" t="s">
        <v>692</v>
      </c>
      <c r="G29" s="89" t="s">
        <v>677</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686</v>
      </c>
      <c r="B30" s="84" t="s">
        <v>742</v>
      </c>
      <c r="C30" s="86" t="s">
        <v>743</v>
      </c>
      <c r="D30" s="88" t="s">
        <v>744</v>
      </c>
      <c r="E30" s="88" t="s">
        <v>745</v>
      </c>
      <c r="F30" s="89" t="s">
        <v>692</v>
      </c>
      <c r="G30" s="89" t="s">
        <v>645</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746</v>
      </c>
      <c r="B31" s="83">
        <v>4</v>
      </c>
      <c r="C31" s="85" t="s">
        <v>21</v>
      </c>
      <c r="D31" s="87" t="s">
        <v>747</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746</v>
      </c>
      <c r="B32" s="84" t="s">
        <v>748</v>
      </c>
      <c r="C32" s="86" t="s">
        <v>749</v>
      </c>
      <c r="D32" s="88" t="s">
        <v>750</v>
      </c>
      <c r="E32" s="88" t="s">
        <v>751</v>
      </c>
      <c r="F32" s="89" t="s">
        <v>752</v>
      </c>
      <c r="G32" s="89" t="s">
        <v>693</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746</v>
      </c>
      <c r="B33" s="84" t="s">
        <v>753</v>
      </c>
      <c r="C33" s="86" t="s">
        <v>754</v>
      </c>
      <c r="D33" s="88" t="s">
        <v>755</v>
      </c>
      <c r="E33" s="88" t="s">
        <v>756</v>
      </c>
      <c r="F33" s="89" t="s">
        <v>752</v>
      </c>
      <c r="G33" s="89" t="s">
        <v>693</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746</v>
      </c>
      <c r="B34" s="84" t="s">
        <v>757</v>
      </c>
      <c r="C34" s="86" t="s">
        <v>758</v>
      </c>
      <c r="D34" s="88" t="s">
        <v>759</v>
      </c>
      <c r="E34" s="88" t="s">
        <v>760</v>
      </c>
      <c r="F34" s="89" t="s">
        <v>634</v>
      </c>
      <c r="G34" s="89" t="s">
        <v>677</v>
      </c>
      <c r="H34" s="89">
        <v>1</v>
      </c>
      <c r="I34" s="91">
        <f>IF(COUNTIF(J34:AW34,"&lt;&gt;")=0,"",SUMPRODUCT(((Recommendations[ImplStatus]="Implemented")+(Recommendations[ImplStatus]="Compensated"))*ISNUMBER(MATCH(Recommendations[Id],J34:AW34,0)))/COUNTIF(J34:AW34,"&lt;&gt;"))</f>
        <v>0</v>
      </c>
      <c r="J34" s="93" t="s">
        <v>89</v>
      </c>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746</v>
      </c>
      <c r="B35" s="84" t="s">
        <v>761</v>
      </c>
      <c r="C35" s="86" t="s">
        <v>762</v>
      </c>
      <c r="D35" s="88" t="s">
        <v>763</v>
      </c>
      <c r="E35" s="88" t="s">
        <v>764</v>
      </c>
      <c r="F35" s="89" t="s">
        <v>634</v>
      </c>
      <c r="G35" s="89" t="s">
        <v>677</v>
      </c>
      <c r="H35" s="89">
        <v>1</v>
      </c>
      <c r="I35" s="91">
        <f>IF(COUNTIF(J35:AW35,"&lt;&gt;")=0,"",SUMPRODUCT(((Recommendations[ImplStatus]="Implemented")+(Recommendations[ImplStatus]="Compensated"))*ISNUMBER(MATCH(Recommendations[Id],J35:AW35,0)))/COUNTIF(J35:AW35,"&lt;&gt;"))</f>
        <v>0</v>
      </c>
      <c r="J35" s="93" t="s">
        <v>171</v>
      </c>
      <c r="K35" s="93" t="s">
        <v>270</v>
      </c>
      <c r="L35" s="93" t="s">
        <v>314</v>
      </c>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746</v>
      </c>
      <c r="B36" s="84" t="s">
        <v>765</v>
      </c>
      <c r="C36" s="86" t="s">
        <v>766</v>
      </c>
      <c r="D36" s="88" t="s">
        <v>767</v>
      </c>
      <c r="E36" s="88" t="s">
        <v>768</v>
      </c>
      <c r="F36" s="89" t="s">
        <v>634</v>
      </c>
      <c r="G36" s="89" t="s">
        <v>677</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746</v>
      </c>
      <c r="B37" s="84" t="s">
        <v>769</v>
      </c>
      <c r="C37" s="86" t="s">
        <v>770</v>
      </c>
      <c r="D37" s="88" t="s">
        <v>771</v>
      </c>
      <c r="E37" s="88" t="s">
        <v>772</v>
      </c>
      <c r="F37" s="89" t="s">
        <v>634</v>
      </c>
      <c r="G37" s="89" t="s">
        <v>677</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746</v>
      </c>
      <c r="B38" s="84" t="s">
        <v>773</v>
      </c>
      <c r="C38" s="86" t="s">
        <v>774</v>
      </c>
      <c r="D38" s="88" t="s">
        <v>775</v>
      </c>
      <c r="E38" s="88" t="s">
        <v>776</v>
      </c>
      <c r="F38" s="89" t="s">
        <v>777</v>
      </c>
      <c r="G38" s="89" t="s">
        <v>677</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746</v>
      </c>
      <c r="B39" s="84" t="s">
        <v>778</v>
      </c>
      <c r="C39" s="86" t="s">
        <v>779</v>
      </c>
      <c r="D39" s="88" t="s">
        <v>780</v>
      </c>
      <c r="E39" s="88" t="s">
        <v>781</v>
      </c>
      <c r="F39" s="89" t="s">
        <v>634</v>
      </c>
      <c r="G39" s="89" t="s">
        <v>677</v>
      </c>
      <c r="H39" s="89">
        <v>2</v>
      </c>
      <c r="I39" s="91">
        <f>IF(COUNTIF(J39:AW39,"&lt;&gt;")=0,"",SUMPRODUCT(((Recommendations[ImplStatus]="Implemented")+(Recommendations[ImplStatus]="Compensated"))*ISNUMBER(MATCH(Recommendations[Id],J39:AW39,0)))/COUNTIF(J39:AW39,"&lt;&gt;"))</f>
        <v>0</v>
      </c>
      <c r="J39" s="93" t="s">
        <v>135</v>
      </c>
      <c r="K39" s="93" t="s">
        <v>140</v>
      </c>
      <c r="L39" s="93" t="s">
        <v>181</v>
      </c>
      <c r="M39" s="93" t="s">
        <v>187</v>
      </c>
      <c r="N39" s="93" t="s">
        <v>192</v>
      </c>
      <c r="O39" s="93" t="s">
        <v>237</v>
      </c>
      <c r="P39" s="93" t="s">
        <v>242</v>
      </c>
      <c r="Q39" s="93" t="s">
        <v>247</v>
      </c>
      <c r="R39" s="93" t="s">
        <v>251</v>
      </c>
      <c r="S39" s="93" t="s">
        <v>285</v>
      </c>
      <c r="T39" s="93" t="s">
        <v>290</v>
      </c>
      <c r="U39" s="93" t="s">
        <v>294</v>
      </c>
      <c r="V39" s="93" t="s">
        <v>299</v>
      </c>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746</v>
      </c>
      <c r="B40" s="84" t="s">
        <v>782</v>
      </c>
      <c r="C40" s="86" t="s">
        <v>783</v>
      </c>
      <c r="D40" s="88" t="s">
        <v>784</v>
      </c>
      <c r="E40" s="88" t="s">
        <v>785</v>
      </c>
      <c r="F40" s="89" t="s">
        <v>634</v>
      </c>
      <c r="G40" s="89" t="s">
        <v>677</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746</v>
      </c>
      <c r="B41" s="84" t="s">
        <v>786</v>
      </c>
      <c r="C41" s="86" t="s">
        <v>787</v>
      </c>
      <c r="D41" s="88" t="s">
        <v>788</v>
      </c>
      <c r="E41" s="88" t="s">
        <v>789</v>
      </c>
      <c r="F41" s="89" t="s">
        <v>634</v>
      </c>
      <c r="G41" s="89" t="s">
        <v>677</v>
      </c>
      <c r="H41" s="89">
        <v>2</v>
      </c>
      <c r="I41" s="91">
        <f>IF(COUNTIF(J41:AW41,"&lt;&gt;")=0,"",SUMPRODUCT(((Recommendations[ImplStatus]="Implemented")+(Recommendations[ImplStatus]="Compensated"))*ISNUMBER(MATCH(Recommendations[Id],J41:AW41,0)))/COUNTIF(J41:AW41,"&lt;&gt;"))</f>
        <v>0</v>
      </c>
      <c r="J41" s="93" t="s">
        <v>31</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746</v>
      </c>
      <c r="B42" s="84" t="s">
        <v>790</v>
      </c>
      <c r="C42" s="86" t="s">
        <v>791</v>
      </c>
      <c r="D42" s="88" t="s">
        <v>792</v>
      </c>
      <c r="E42" s="88" t="s">
        <v>793</v>
      </c>
      <c r="F42" s="89" t="s">
        <v>692</v>
      </c>
      <c r="G42" s="89" t="s">
        <v>677</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746</v>
      </c>
      <c r="B43" s="84" t="s">
        <v>794</v>
      </c>
      <c r="C43" s="86" t="s">
        <v>795</v>
      </c>
      <c r="D43" s="88" t="s">
        <v>796</v>
      </c>
      <c r="E43" s="88" t="s">
        <v>797</v>
      </c>
      <c r="F43" s="89" t="s">
        <v>692</v>
      </c>
      <c r="G43" s="89" t="s">
        <v>677</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798</v>
      </c>
      <c r="B44" s="83">
        <v>5</v>
      </c>
      <c r="C44" s="85" t="s">
        <v>21</v>
      </c>
      <c r="D44" s="87" t="s">
        <v>799</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798</v>
      </c>
      <c r="B45" s="84" t="s">
        <v>800</v>
      </c>
      <c r="C45" s="86" t="s">
        <v>801</v>
      </c>
      <c r="D45" s="88" t="s">
        <v>802</v>
      </c>
      <c r="E45" s="88" t="s">
        <v>803</v>
      </c>
      <c r="F45" s="89" t="s">
        <v>777</v>
      </c>
      <c r="G45" s="89" t="s">
        <v>635</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798</v>
      </c>
      <c r="B46" s="84" t="s">
        <v>804</v>
      </c>
      <c r="C46" s="86" t="s">
        <v>805</v>
      </c>
      <c r="D46" s="88" t="s">
        <v>806</v>
      </c>
      <c r="E46" s="88" t="s">
        <v>807</v>
      </c>
      <c r="F46" s="89" t="s">
        <v>777</v>
      </c>
      <c r="G46" s="89" t="s">
        <v>677</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798</v>
      </c>
      <c r="B47" s="84" t="s">
        <v>808</v>
      </c>
      <c r="C47" s="86" t="s">
        <v>809</v>
      </c>
      <c r="D47" s="88" t="s">
        <v>810</v>
      </c>
      <c r="E47" s="88" t="s">
        <v>811</v>
      </c>
      <c r="F47" s="89" t="s">
        <v>777</v>
      </c>
      <c r="G47" s="89" t="s">
        <v>677</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798</v>
      </c>
      <c r="B48" s="84" t="s">
        <v>812</v>
      </c>
      <c r="C48" s="86" t="s">
        <v>813</v>
      </c>
      <c r="D48" s="88" t="s">
        <v>814</v>
      </c>
      <c r="E48" s="88" t="s">
        <v>815</v>
      </c>
      <c r="F48" s="89" t="s">
        <v>777</v>
      </c>
      <c r="G48" s="89" t="s">
        <v>677</v>
      </c>
      <c r="H48" s="89">
        <v>1</v>
      </c>
      <c r="I48" s="91">
        <f>IF(COUNTIF(J48:AW48,"&lt;&gt;")=0,"",SUMPRODUCT(((Recommendations[ImplStatus]="Implemented")+(Recommendations[ImplStatus]="Compensated"))*ISNUMBER(MATCH(Recommendations[Id],J48:AW48,0)))/COUNTIF(J48:AW48,"&lt;&gt;"))</f>
        <v>0</v>
      </c>
      <c r="J48" s="93" t="s">
        <v>51</v>
      </c>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798</v>
      </c>
      <c r="B49" s="84" t="s">
        <v>816</v>
      </c>
      <c r="C49" s="86" t="s">
        <v>817</v>
      </c>
      <c r="D49" s="88" t="s">
        <v>818</v>
      </c>
      <c r="E49" s="88" t="s">
        <v>819</v>
      </c>
      <c r="F49" s="89" t="s">
        <v>777</v>
      </c>
      <c r="G49" s="89" t="s">
        <v>635</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798</v>
      </c>
      <c r="B50" s="84" t="s">
        <v>820</v>
      </c>
      <c r="C50" s="86" t="s">
        <v>821</v>
      </c>
      <c r="D50" s="88" t="s">
        <v>822</v>
      </c>
      <c r="E50" s="88" t="s">
        <v>823</v>
      </c>
      <c r="F50" s="89" t="s">
        <v>777</v>
      </c>
      <c r="G50" s="89" t="s">
        <v>693</v>
      </c>
      <c r="H50" s="89">
        <v>2</v>
      </c>
      <c r="I50" s="91">
        <f>IF(COUNTIF(J50:AW50,"&lt;&gt;")=0,"",SUMPRODUCT(((Recommendations[ImplStatus]="Implemented")+(Recommendations[ImplStatus]="Compensated"))*ISNUMBER(MATCH(Recommendations[Id],J50:AW50,0)))/COUNTIF(J50:AW50,"&lt;&gt;"))</f>
        <v>0</v>
      </c>
      <c r="J50" s="93" t="s">
        <v>46</v>
      </c>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824</v>
      </c>
      <c r="B51" s="83">
        <v>6</v>
      </c>
      <c r="C51" s="85" t="s">
        <v>21</v>
      </c>
      <c r="D51" s="87" t="s">
        <v>825</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824</v>
      </c>
      <c r="B52" s="84" t="s">
        <v>826</v>
      </c>
      <c r="C52" s="86" t="s">
        <v>827</v>
      </c>
      <c r="D52" s="88" t="s">
        <v>828</v>
      </c>
      <c r="E52" s="88" t="s">
        <v>829</v>
      </c>
      <c r="F52" s="89" t="s">
        <v>752</v>
      </c>
      <c r="G52" s="89" t="s">
        <v>693</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824</v>
      </c>
      <c r="B53" s="84" t="s">
        <v>830</v>
      </c>
      <c r="C53" s="86" t="s">
        <v>831</v>
      </c>
      <c r="D53" s="88" t="s">
        <v>832</v>
      </c>
      <c r="E53" s="88" t="s">
        <v>833</v>
      </c>
      <c r="F53" s="89" t="s">
        <v>752</v>
      </c>
      <c r="G53" s="89" t="s">
        <v>693</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824</v>
      </c>
      <c r="B54" s="84" t="s">
        <v>834</v>
      </c>
      <c r="C54" s="86" t="s">
        <v>835</v>
      </c>
      <c r="D54" s="88" t="s">
        <v>836</v>
      </c>
      <c r="E54" s="88" t="s">
        <v>837</v>
      </c>
      <c r="F54" s="89" t="s">
        <v>777</v>
      </c>
      <c r="G54" s="89" t="s">
        <v>677</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824</v>
      </c>
      <c r="B55" s="84" t="s">
        <v>838</v>
      </c>
      <c r="C55" s="86" t="s">
        <v>839</v>
      </c>
      <c r="D55" s="88" t="s">
        <v>840</v>
      </c>
      <c r="E55" s="88" t="s">
        <v>841</v>
      </c>
      <c r="F55" s="89" t="s">
        <v>777</v>
      </c>
      <c r="G55" s="89" t="s">
        <v>677</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824</v>
      </c>
      <c r="B56" s="84" t="s">
        <v>842</v>
      </c>
      <c r="C56" s="86" t="s">
        <v>843</v>
      </c>
      <c r="D56" s="88" t="s">
        <v>844</v>
      </c>
      <c r="E56" s="88" t="s">
        <v>845</v>
      </c>
      <c r="F56" s="89" t="s">
        <v>777</v>
      </c>
      <c r="G56" s="89" t="s">
        <v>677</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824</v>
      </c>
      <c r="B57" s="84" t="s">
        <v>846</v>
      </c>
      <c r="C57" s="86" t="s">
        <v>847</v>
      </c>
      <c r="D57" s="88" t="s">
        <v>848</v>
      </c>
      <c r="E57" s="88" t="s">
        <v>849</v>
      </c>
      <c r="F57" s="89" t="s">
        <v>660</v>
      </c>
      <c r="G57" s="89" t="s">
        <v>635</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824</v>
      </c>
      <c r="B58" s="84" t="s">
        <v>850</v>
      </c>
      <c r="C58" s="86" t="s">
        <v>851</v>
      </c>
      <c r="D58" s="88" t="s">
        <v>852</v>
      </c>
      <c r="E58" s="88" t="s">
        <v>853</v>
      </c>
      <c r="F58" s="89" t="s">
        <v>777</v>
      </c>
      <c r="G58" s="89" t="s">
        <v>677</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824</v>
      </c>
      <c r="B59" s="84" t="s">
        <v>854</v>
      </c>
      <c r="C59" s="86" t="s">
        <v>855</v>
      </c>
      <c r="D59" s="88" t="s">
        <v>856</v>
      </c>
      <c r="E59" s="88" t="s">
        <v>857</v>
      </c>
      <c r="F59" s="89" t="s">
        <v>777</v>
      </c>
      <c r="G59" s="89" t="s">
        <v>693</v>
      </c>
      <c r="H59" s="89">
        <v>3</v>
      </c>
      <c r="I59" s="91">
        <f>IF(COUNTIF(J59:AW59,"&lt;&gt;")=0,"",SUMPRODUCT(((Recommendations[ImplStatus]="Implemented")+(Recommendations[ImplStatus]="Compensated"))*ISNUMBER(MATCH(Recommendations[Id],J59:AW59,0)))/COUNTIF(J59:AW59,"&lt;&gt;"))</f>
        <v>0</v>
      </c>
      <c r="J59" s="93" t="s">
        <v>25</v>
      </c>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858</v>
      </c>
      <c r="B60" s="83">
        <v>7</v>
      </c>
      <c r="C60" s="85" t="s">
        <v>21</v>
      </c>
      <c r="D60" s="87" t="s">
        <v>859</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858</v>
      </c>
      <c r="B61" s="84" t="s">
        <v>860</v>
      </c>
      <c r="C61" s="86" t="s">
        <v>861</v>
      </c>
      <c r="D61" s="88" t="s">
        <v>862</v>
      </c>
      <c r="E61" s="88" t="s">
        <v>863</v>
      </c>
      <c r="F61" s="89" t="s">
        <v>752</v>
      </c>
      <c r="G61" s="89" t="s">
        <v>693</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858</v>
      </c>
      <c r="B62" s="84" t="s">
        <v>864</v>
      </c>
      <c r="C62" s="86" t="s">
        <v>865</v>
      </c>
      <c r="D62" s="88" t="s">
        <v>866</v>
      </c>
      <c r="E62" s="88" t="s">
        <v>867</v>
      </c>
      <c r="F62" s="89" t="s">
        <v>752</v>
      </c>
      <c r="G62" s="89" t="s">
        <v>693</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858</v>
      </c>
      <c r="B63" s="84" t="s">
        <v>868</v>
      </c>
      <c r="C63" s="86" t="s">
        <v>869</v>
      </c>
      <c r="D63" s="88" t="s">
        <v>870</v>
      </c>
      <c r="E63" s="88" t="s">
        <v>871</v>
      </c>
      <c r="F63" s="89" t="s">
        <v>660</v>
      </c>
      <c r="G63" s="89" t="s">
        <v>677</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858</v>
      </c>
      <c r="B64" s="84" t="s">
        <v>872</v>
      </c>
      <c r="C64" s="86" t="s">
        <v>873</v>
      </c>
      <c r="D64" s="88" t="s">
        <v>874</v>
      </c>
      <c r="E64" s="88" t="s">
        <v>875</v>
      </c>
      <c r="F64" s="89" t="s">
        <v>660</v>
      </c>
      <c r="G64" s="89" t="s">
        <v>677</v>
      </c>
      <c r="H64" s="89">
        <v>1</v>
      </c>
      <c r="I64" s="91">
        <f>IF(COUNTIF(J64:AW64,"&lt;&gt;")=0,"",SUMPRODUCT(((Recommendations[ImplStatus]="Implemented")+(Recommendations[ImplStatus]="Compensated"))*ISNUMBER(MATCH(Recommendations[Id],J64:AW64,0)))/COUNTIF(J64:AW64,"&lt;&gt;"))</f>
        <v>0</v>
      </c>
      <c r="J64" s="93" t="s">
        <v>130</v>
      </c>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858</v>
      </c>
      <c r="B65" s="84" t="s">
        <v>876</v>
      </c>
      <c r="C65" s="86" t="s">
        <v>877</v>
      </c>
      <c r="D65" s="88" t="s">
        <v>878</v>
      </c>
      <c r="E65" s="88" t="s">
        <v>879</v>
      </c>
      <c r="F65" s="89" t="s">
        <v>660</v>
      </c>
      <c r="G65" s="89" t="s">
        <v>635</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858</v>
      </c>
      <c r="B66" s="84" t="s">
        <v>880</v>
      </c>
      <c r="C66" s="86" t="s">
        <v>881</v>
      </c>
      <c r="D66" s="88" t="s">
        <v>882</v>
      </c>
      <c r="E66" s="88" t="s">
        <v>883</v>
      </c>
      <c r="F66" s="89" t="s">
        <v>660</v>
      </c>
      <c r="G66" s="89" t="s">
        <v>635</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858</v>
      </c>
      <c r="B67" s="84" t="s">
        <v>884</v>
      </c>
      <c r="C67" s="86" t="s">
        <v>885</v>
      </c>
      <c r="D67" s="88" t="s">
        <v>886</v>
      </c>
      <c r="E67" s="88" t="s">
        <v>887</v>
      </c>
      <c r="F67" s="89" t="s">
        <v>660</v>
      </c>
      <c r="G67" s="89" t="s">
        <v>640</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888</v>
      </c>
      <c r="B68" s="83">
        <v>8</v>
      </c>
      <c r="C68" s="85" t="s">
        <v>21</v>
      </c>
      <c r="D68" s="87" t="s">
        <v>889</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888</v>
      </c>
      <c r="B69" s="84" t="s">
        <v>890</v>
      </c>
      <c r="C69" s="86" t="s">
        <v>891</v>
      </c>
      <c r="D69" s="88" t="s">
        <v>892</v>
      </c>
      <c r="E69" s="88" t="s">
        <v>893</v>
      </c>
      <c r="F69" s="89" t="s">
        <v>752</v>
      </c>
      <c r="G69" s="89" t="s">
        <v>693</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888</v>
      </c>
      <c r="B70" s="84" t="s">
        <v>894</v>
      </c>
      <c r="C70" s="86" t="s">
        <v>895</v>
      </c>
      <c r="D70" s="88" t="s">
        <v>896</v>
      </c>
      <c r="E70" s="88" t="s">
        <v>897</v>
      </c>
      <c r="F70" s="89" t="s">
        <v>692</v>
      </c>
      <c r="G70" s="89" t="s">
        <v>645</v>
      </c>
      <c r="H70" s="89">
        <v>1</v>
      </c>
      <c r="I70" s="91">
        <f>IF(COUNTIF(J70:AW70,"&lt;&gt;")=0,"",SUMPRODUCT(((Recommendations[ImplStatus]="Implemented")+(Recommendations[ImplStatus]="Compensated"))*ISNUMBER(MATCH(Recommendations[Id],J70:AW70,0)))/COUNTIF(J70:AW70,"&lt;&gt;"))</f>
        <v>0</v>
      </c>
      <c r="J70" s="93" t="s">
        <v>14</v>
      </c>
      <c r="K70" s="93" t="s">
        <v>109</v>
      </c>
      <c r="L70" s="93" t="s">
        <v>160</v>
      </c>
      <c r="M70" s="93" t="s">
        <v>260</v>
      </c>
      <c r="N70" s="93" t="s">
        <v>303</v>
      </c>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888</v>
      </c>
      <c r="B71" s="84" t="s">
        <v>898</v>
      </c>
      <c r="C71" s="86" t="s">
        <v>899</v>
      </c>
      <c r="D71" s="88" t="s">
        <v>900</v>
      </c>
      <c r="E71" s="88" t="s">
        <v>901</v>
      </c>
      <c r="F71" s="89" t="s">
        <v>692</v>
      </c>
      <c r="G71" s="89" t="s">
        <v>677</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888</v>
      </c>
      <c r="B72" s="84" t="s">
        <v>902</v>
      </c>
      <c r="C72" s="86" t="s">
        <v>903</v>
      </c>
      <c r="D72" s="88" t="s">
        <v>904</v>
      </c>
      <c r="E72" s="88" t="s">
        <v>905</v>
      </c>
      <c r="F72" s="89" t="s">
        <v>906</v>
      </c>
      <c r="G72" s="89" t="s">
        <v>677</v>
      </c>
      <c r="H72" s="89">
        <v>2</v>
      </c>
      <c r="I72" s="91">
        <f>IF(COUNTIF(J72:AW72,"&lt;&gt;")=0,"",SUMPRODUCT(((Recommendations[ImplStatus]="Implemented")+(Recommendations[ImplStatus]="Compensated"))*ISNUMBER(MATCH(Recommendations[Id],J72:AW72,0)))/COUNTIF(J72:AW72,"&lt;&gt;"))</f>
        <v>0</v>
      </c>
      <c r="J72" s="93" t="s">
        <v>94</v>
      </c>
      <c r="K72" s="93" t="s">
        <v>99</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888</v>
      </c>
      <c r="B73" s="84" t="s">
        <v>907</v>
      </c>
      <c r="C73" s="86" t="s">
        <v>908</v>
      </c>
      <c r="D73" s="88" t="s">
        <v>909</v>
      </c>
      <c r="E73" s="88" t="s">
        <v>910</v>
      </c>
      <c r="F73" s="89" t="s">
        <v>692</v>
      </c>
      <c r="G73" s="89" t="s">
        <v>645</v>
      </c>
      <c r="H73" s="89">
        <v>2</v>
      </c>
      <c r="I73" s="91" t="str">
        <f>IF(COUNTIF(J73:AW73,"&lt;&gt;")=0,"",SUMPRODUCT(((Recommendations[ImplStatus]="Implemented")+(Recommendations[ImplStatus]="Compensated"))*ISNUMBER(MATCH(Recommendations[Id],J73:AW73,0)))/COUNTIF(J73:AW73,"&lt;&gt;"))</f>
        <v/>
      </c>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888</v>
      </c>
      <c r="B74" s="84" t="s">
        <v>911</v>
      </c>
      <c r="C74" s="86" t="s">
        <v>912</v>
      </c>
      <c r="D74" s="88" t="s">
        <v>913</v>
      </c>
      <c r="E74" s="88" t="s">
        <v>914</v>
      </c>
      <c r="F74" s="89" t="s">
        <v>692</v>
      </c>
      <c r="G74" s="89" t="s">
        <v>645</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888</v>
      </c>
      <c r="B75" s="84" t="s">
        <v>915</v>
      </c>
      <c r="C75" s="86" t="s">
        <v>916</v>
      </c>
      <c r="D75" s="88" t="s">
        <v>917</v>
      </c>
      <c r="E75" s="88" t="s">
        <v>918</v>
      </c>
      <c r="F75" s="89" t="s">
        <v>692</v>
      </c>
      <c r="G75" s="89" t="s">
        <v>645</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888</v>
      </c>
      <c r="B76" s="84" t="s">
        <v>919</v>
      </c>
      <c r="C76" s="86" t="s">
        <v>920</v>
      </c>
      <c r="D76" s="88" t="s">
        <v>921</v>
      </c>
      <c r="E76" s="88" t="s">
        <v>922</v>
      </c>
      <c r="F76" s="89" t="s">
        <v>692</v>
      </c>
      <c r="G76" s="89" t="s">
        <v>645</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888</v>
      </c>
      <c r="B77" s="84" t="s">
        <v>923</v>
      </c>
      <c r="C77" s="86" t="s">
        <v>924</v>
      </c>
      <c r="D77" s="88" t="s">
        <v>925</v>
      </c>
      <c r="E77" s="88" t="s">
        <v>926</v>
      </c>
      <c r="F77" s="89" t="s">
        <v>692</v>
      </c>
      <c r="G77" s="89" t="s">
        <v>645</v>
      </c>
      <c r="H77" s="89">
        <v>2</v>
      </c>
      <c r="I77" s="91">
        <f>IF(COUNTIF(J77:AW77,"&lt;&gt;")=0,"",SUMPRODUCT(((Recommendations[ImplStatus]="Implemented")+(Recommendations[ImplStatus]="Compensated"))*ISNUMBER(MATCH(Recommendations[Id],J77:AW77,0)))/COUNTIF(J77:AW77,"&lt;&gt;"))</f>
        <v>0</v>
      </c>
      <c r="J77" s="93" t="s">
        <v>14</v>
      </c>
      <c r="K77" s="93" t="s">
        <v>109</v>
      </c>
      <c r="L77" s="93" t="s">
        <v>176</v>
      </c>
      <c r="M77" s="93" t="s">
        <v>275</v>
      </c>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888</v>
      </c>
      <c r="B78" s="84" t="s">
        <v>927</v>
      </c>
      <c r="C78" s="86" t="s">
        <v>928</v>
      </c>
      <c r="D78" s="88" t="s">
        <v>929</v>
      </c>
      <c r="E78" s="88" t="s">
        <v>930</v>
      </c>
      <c r="F78" s="89" t="s">
        <v>692</v>
      </c>
      <c r="G78" s="89" t="s">
        <v>677</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888</v>
      </c>
      <c r="B79" s="84" t="s">
        <v>931</v>
      </c>
      <c r="C79" s="86" t="s">
        <v>932</v>
      </c>
      <c r="D79" s="88" t="s">
        <v>933</v>
      </c>
      <c r="E79" s="88" t="s">
        <v>934</v>
      </c>
      <c r="F79" s="89" t="s">
        <v>692</v>
      </c>
      <c r="G79" s="89" t="s">
        <v>645</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888</v>
      </c>
      <c r="B80" s="84" t="s">
        <v>935</v>
      </c>
      <c r="C80" s="86" t="s">
        <v>936</v>
      </c>
      <c r="D80" s="88" t="s">
        <v>937</v>
      </c>
      <c r="E80" s="88" t="s">
        <v>938</v>
      </c>
      <c r="F80" s="89" t="s">
        <v>692</v>
      </c>
      <c r="G80" s="89" t="s">
        <v>645</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939</v>
      </c>
      <c r="B81" s="83">
        <v>9</v>
      </c>
      <c r="C81" s="85" t="s">
        <v>21</v>
      </c>
      <c r="D81" s="87" t="s">
        <v>940</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939</v>
      </c>
      <c r="B82" s="84" t="s">
        <v>941</v>
      </c>
      <c r="C82" s="86" t="s">
        <v>942</v>
      </c>
      <c r="D82" s="88" t="s">
        <v>943</v>
      </c>
      <c r="E82" s="88" t="s">
        <v>944</v>
      </c>
      <c r="F82" s="89" t="s">
        <v>660</v>
      </c>
      <c r="G82" s="89" t="s">
        <v>677</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939</v>
      </c>
      <c r="B83" s="84" t="s">
        <v>945</v>
      </c>
      <c r="C83" s="86" t="s">
        <v>946</v>
      </c>
      <c r="D83" s="88" t="s">
        <v>947</v>
      </c>
      <c r="E83" s="88" t="s">
        <v>948</v>
      </c>
      <c r="F83" s="89" t="s">
        <v>634</v>
      </c>
      <c r="G83" s="89" t="s">
        <v>677</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939</v>
      </c>
      <c r="B84" s="84" t="s">
        <v>949</v>
      </c>
      <c r="C84" s="86" t="s">
        <v>950</v>
      </c>
      <c r="D84" s="88" t="s">
        <v>951</v>
      </c>
      <c r="E84" s="88" t="s">
        <v>952</v>
      </c>
      <c r="F84" s="89" t="s">
        <v>906</v>
      </c>
      <c r="G84" s="89" t="s">
        <v>677</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939</v>
      </c>
      <c r="B85" s="84" t="s">
        <v>953</v>
      </c>
      <c r="C85" s="86" t="s">
        <v>954</v>
      </c>
      <c r="D85" s="88" t="s">
        <v>955</v>
      </c>
      <c r="E85" s="88" t="s">
        <v>956</v>
      </c>
      <c r="F85" s="89" t="s">
        <v>660</v>
      </c>
      <c r="G85" s="89" t="s">
        <v>677</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939</v>
      </c>
      <c r="B86" s="84" t="s">
        <v>957</v>
      </c>
      <c r="C86" s="86" t="s">
        <v>958</v>
      </c>
      <c r="D86" s="88" t="s">
        <v>959</v>
      </c>
      <c r="E86" s="88" t="s">
        <v>960</v>
      </c>
      <c r="F86" s="89" t="s">
        <v>906</v>
      </c>
      <c r="G86" s="89" t="s">
        <v>677</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939</v>
      </c>
      <c r="B87" s="84" t="s">
        <v>961</v>
      </c>
      <c r="C87" s="86" t="s">
        <v>962</v>
      </c>
      <c r="D87" s="88" t="s">
        <v>963</v>
      </c>
      <c r="E87" s="88" t="s">
        <v>964</v>
      </c>
      <c r="F87" s="89" t="s">
        <v>906</v>
      </c>
      <c r="G87" s="89" t="s">
        <v>677</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939</v>
      </c>
      <c r="B88" s="84" t="s">
        <v>965</v>
      </c>
      <c r="C88" s="86" t="s">
        <v>966</v>
      </c>
      <c r="D88" s="88" t="s">
        <v>967</v>
      </c>
      <c r="E88" s="88" t="s">
        <v>968</v>
      </c>
      <c r="F88" s="89" t="s">
        <v>906</v>
      </c>
      <c r="G88" s="89" t="s">
        <v>677</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969</v>
      </c>
      <c r="B89" s="83">
        <v>10</v>
      </c>
      <c r="C89" s="85" t="s">
        <v>21</v>
      </c>
      <c r="D89" s="87" t="s">
        <v>970</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969</v>
      </c>
      <c r="B90" s="84" t="s">
        <v>971</v>
      </c>
      <c r="C90" s="86" t="s">
        <v>972</v>
      </c>
      <c r="D90" s="88" t="s">
        <v>973</v>
      </c>
      <c r="E90" s="88" t="s">
        <v>974</v>
      </c>
      <c r="F90" s="89" t="s">
        <v>634</v>
      </c>
      <c r="G90" s="89" t="s">
        <v>645</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969</v>
      </c>
      <c r="B91" s="84" t="s">
        <v>975</v>
      </c>
      <c r="C91" s="86" t="s">
        <v>976</v>
      </c>
      <c r="D91" s="88" t="s">
        <v>977</v>
      </c>
      <c r="E91" s="88" t="s">
        <v>978</v>
      </c>
      <c r="F91" s="89" t="s">
        <v>634</v>
      </c>
      <c r="G91" s="89" t="s">
        <v>677</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969</v>
      </c>
      <c r="B92" s="84" t="s">
        <v>979</v>
      </c>
      <c r="C92" s="86" t="s">
        <v>980</v>
      </c>
      <c r="D92" s="88" t="s">
        <v>981</v>
      </c>
      <c r="E92" s="88" t="s">
        <v>982</v>
      </c>
      <c r="F92" s="89" t="s">
        <v>634</v>
      </c>
      <c r="G92" s="89" t="s">
        <v>677</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969</v>
      </c>
      <c r="B93" s="84" t="s">
        <v>983</v>
      </c>
      <c r="C93" s="86" t="s">
        <v>984</v>
      </c>
      <c r="D93" s="88" t="s">
        <v>985</v>
      </c>
      <c r="E93" s="88" t="s">
        <v>986</v>
      </c>
      <c r="F93" s="89" t="s">
        <v>634</v>
      </c>
      <c r="G93" s="89" t="s">
        <v>645</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969</v>
      </c>
      <c r="B94" s="84" t="s">
        <v>987</v>
      </c>
      <c r="C94" s="86" t="s">
        <v>988</v>
      </c>
      <c r="D94" s="88" t="s">
        <v>989</v>
      </c>
      <c r="E94" s="88" t="s">
        <v>990</v>
      </c>
      <c r="F94" s="89" t="s">
        <v>634</v>
      </c>
      <c r="G94" s="89" t="s">
        <v>677</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969</v>
      </c>
      <c r="B95" s="84" t="s">
        <v>991</v>
      </c>
      <c r="C95" s="86" t="s">
        <v>992</v>
      </c>
      <c r="D95" s="88" t="s">
        <v>993</v>
      </c>
      <c r="E95" s="88" t="s">
        <v>994</v>
      </c>
      <c r="F95" s="89" t="s">
        <v>634</v>
      </c>
      <c r="G95" s="89" t="s">
        <v>677</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969</v>
      </c>
      <c r="B96" s="84" t="s">
        <v>995</v>
      </c>
      <c r="C96" s="86" t="s">
        <v>996</v>
      </c>
      <c r="D96" s="88" t="s">
        <v>997</v>
      </c>
      <c r="E96" s="88" t="s">
        <v>998</v>
      </c>
      <c r="F96" s="89" t="s">
        <v>634</v>
      </c>
      <c r="G96" s="89" t="s">
        <v>645</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999</v>
      </c>
      <c r="B97" s="83">
        <v>11</v>
      </c>
      <c r="C97" s="85" t="s">
        <v>21</v>
      </c>
      <c r="D97" s="87" t="s">
        <v>1000</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999</v>
      </c>
      <c r="B98" s="84" t="s">
        <v>1001</v>
      </c>
      <c r="C98" s="86" t="s">
        <v>1002</v>
      </c>
      <c r="D98" s="88" t="s">
        <v>1003</v>
      </c>
      <c r="E98" s="88" t="s">
        <v>1004</v>
      </c>
      <c r="F98" s="89" t="s">
        <v>752</v>
      </c>
      <c r="G98" s="89" t="s">
        <v>693</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999</v>
      </c>
      <c r="B99" s="84" t="s">
        <v>1005</v>
      </c>
      <c r="C99" s="86" t="s">
        <v>1006</v>
      </c>
      <c r="D99" s="88" t="s">
        <v>1007</v>
      </c>
      <c r="E99" s="88" t="s">
        <v>1008</v>
      </c>
      <c r="F99" s="89" t="s">
        <v>692</v>
      </c>
      <c r="G99" s="89" t="s">
        <v>1009</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999</v>
      </c>
      <c r="B100" s="84" t="s">
        <v>1010</v>
      </c>
      <c r="C100" s="86" t="s">
        <v>1011</v>
      </c>
      <c r="D100" s="88" t="s">
        <v>1012</v>
      </c>
      <c r="E100" s="88" t="s">
        <v>1013</v>
      </c>
      <c r="F100" s="89" t="s">
        <v>692</v>
      </c>
      <c r="G100" s="89" t="s">
        <v>677</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999</v>
      </c>
      <c r="B101" s="84" t="s">
        <v>1014</v>
      </c>
      <c r="C101" s="86" t="s">
        <v>1015</v>
      </c>
      <c r="D101" s="88" t="s">
        <v>1016</v>
      </c>
      <c r="E101" s="88" t="s">
        <v>1017</v>
      </c>
      <c r="F101" s="89" t="s">
        <v>692</v>
      </c>
      <c r="G101" s="89" t="s">
        <v>1009</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999</v>
      </c>
      <c r="B102" s="84" t="s">
        <v>1018</v>
      </c>
      <c r="C102" s="86" t="s">
        <v>1019</v>
      </c>
      <c r="D102" s="88" t="s">
        <v>1020</v>
      </c>
      <c r="E102" s="88" t="s">
        <v>1021</v>
      </c>
      <c r="F102" s="89" t="s">
        <v>692</v>
      </c>
      <c r="G102" s="89" t="s">
        <v>1009</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1022</v>
      </c>
      <c r="B103" s="83">
        <v>12</v>
      </c>
      <c r="C103" s="85" t="s">
        <v>21</v>
      </c>
      <c r="D103" s="87" t="s">
        <v>1023</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1022</v>
      </c>
      <c r="B104" s="84" t="s">
        <v>1024</v>
      </c>
      <c r="C104" s="86" t="s">
        <v>1025</v>
      </c>
      <c r="D104" s="88" t="s">
        <v>1026</v>
      </c>
      <c r="E104" s="88" t="s">
        <v>1027</v>
      </c>
      <c r="F104" s="89" t="s">
        <v>906</v>
      </c>
      <c r="G104" s="89" t="s">
        <v>677</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1022</v>
      </c>
      <c r="B105" s="84" t="s">
        <v>1028</v>
      </c>
      <c r="C105" s="86" t="s">
        <v>1029</v>
      </c>
      <c r="D105" s="88" t="s">
        <v>1030</v>
      </c>
      <c r="E105" s="88" t="s">
        <v>1031</v>
      </c>
      <c r="F105" s="89" t="s">
        <v>906</v>
      </c>
      <c r="G105" s="89" t="s">
        <v>677</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1022</v>
      </c>
      <c r="B106" s="84" t="s">
        <v>1032</v>
      </c>
      <c r="C106" s="86" t="s">
        <v>1033</v>
      </c>
      <c r="D106" s="88" t="s">
        <v>1034</v>
      </c>
      <c r="E106" s="88" t="s">
        <v>1035</v>
      </c>
      <c r="F106" s="89" t="s">
        <v>906</v>
      </c>
      <c r="G106" s="89" t="s">
        <v>677</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1022</v>
      </c>
      <c r="B107" s="84" t="s">
        <v>1036</v>
      </c>
      <c r="C107" s="86" t="s">
        <v>1037</v>
      </c>
      <c r="D107" s="88" t="s">
        <v>1038</v>
      </c>
      <c r="E107" s="88" t="s">
        <v>1039</v>
      </c>
      <c r="F107" s="89" t="s">
        <v>752</v>
      </c>
      <c r="G107" s="89" t="s">
        <v>693</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1022</v>
      </c>
      <c r="B108" s="84" t="s">
        <v>1040</v>
      </c>
      <c r="C108" s="86" t="s">
        <v>1041</v>
      </c>
      <c r="D108" s="88" t="s">
        <v>1042</v>
      </c>
      <c r="E108" s="88" t="s">
        <v>1043</v>
      </c>
      <c r="F108" s="89" t="s">
        <v>906</v>
      </c>
      <c r="G108" s="89" t="s">
        <v>677</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1022</v>
      </c>
      <c r="B109" s="84" t="s">
        <v>1044</v>
      </c>
      <c r="C109" s="86" t="s">
        <v>1045</v>
      </c>
      <c r="D109" s="88" t="s">
        <v>1046</v>
      </c>
      <c r="E109" s="88" t="s">
        <v>1047</v>
      </c>
      <c r="F109" s="89" t="s">
        <v>906</v>
      </c>
      <c r="G109" s="89" t="s">
        <v>677</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1022</v>
      </c>
      <c r="B110" s="84" t="s">
        <v>1048</v>
      </c>
      <c r="C110" s="86" t="s">
        <v>1049</v>
      </c>
      <c r="D110" s="88" t="s">
        <v>1050</v>
      </c>
      <c r="E110" s="88" t="s">
        <v>1051</v>
      </c>
      <c r="F110" s="89" t="s">
        <v>634</v>
      </c>
      <c r="G110" s="89" t="s">
        <v>677</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1022</v>
      </c>
      <c r="B111" s="84" t="s">
        <v>1052</v>
      </c>
      <c r="C111" s="86" t="s">
        <v>1053</v>
      </c>
      <c r="D111" s="88" t="s">
        <v>1054</v>
      </c>
      <c r="E111" s="88" t="s">
        <v>1055</v>
      </c>
      <c r="F111" s="89" t="s">
        <v>634</v>
      </c>
      <c r="G111" s="89" t="s">
        <v>677</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1056</v>
      </c>
      <c r="B112" s="83">
        <v>13</v>
      </c>
      <c r="C112" s="85" t="s">
        <v>21</v>
      </c>
      <c r="D112" s="87" t="s">
        <v>1057</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1056</v>
      </c>
      <c r="B113" s="84" t="s">
        <v>1058</v>
      </c>
      <c r="C113" s="86" t="s">
        <v>1059</v>
      </c>
      <c r="D113" s="88" t="s">
        <v>1060</v>
      </c>
      <c r="E113" s="88" t="s">
        <v>1061</v>
      </c>
      <c r="F113" s="89" t="s">
        <v>906</v>
      </c>
      <c r="G113" s="89" t="s">
        <v>645</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1056</v>
      </c>
      <c r="B114" s="84" t="s">
        <v>1062</v>
      </c>
      <c r="C114" s="86" t="s">
        <v>1063</v>
      </c>
      <c r="D114" s="88" t="s">
        <v>1064</v>
      </c>
      <c r="E114" s="88" t="s">
        <v>1065</v>
      </c>
      <c r="F114" s="89" t="s">
        <v>634</v>
      </c>
      <c r="G114" s="89" t="s">
        <v>645</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1056</v>
      </c>
      <c r="B115" s="84" t="s">
        <v>1066</v>
      </c>
      <c r="C115" s="86" t="s">
        <v>1067</v>
      </c>
      <c r="D115" s="88" t="s">
        <v>1068</v>
      </c>
      <c r="E115" s="88" t="s">
        <v>1069</v>
      </c>
      <c r="F115" s="89" t="s">
        <v>906</v>
      </c>
      <c r="G115" s="89" t="s">
        <v>645</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1056</v>
      </c>
      <c r="B116" s="84" t="s">
        <v>1070</v>
      </c>
      <c r="C116" s="86" t="s">
        <v>1071</v>
      </c>
      <c r="D116" s="88" t="s">
        <v>1072</v>
      </c>
      <c r="E116" s="88" t="s">
        <v>1073</v>
      </c>
      <c r="F116" s="89" t="s">
        <v>906</v>
      </c>
      <c r="G116" s="89" t="s">
        <v>677</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1056</v>
      </c>
      <c r="B117" s="84" t="s">
        <v>1074</v>
      </c>
      <c r="C117" s="86" t="s">
        <v>1075</v>
      </c>
      <c r="D117" s="88" t="s">
        <v>1076</v>
      </c>
      <c r="E117" s="88" t="s">
        <v>1077</v>
      </c>
      <c r="F117" s="89" t="s">
        <v>634</v>
      </c>
      <c r="G117" s="89" t="s">
        <v>677</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1056</v>
      </c>
      <c r="B118" s="84" t="s">
        <v>1078</v>
      </c>
      <c r="C118" s="86" t="s">
        <v>1079</v>
      </c>
      <c r="D118" s="88" t="s">
        <v>1080</v>
      </c>
      <c r="E118" s="88" t="s">
        <v>1081</v>
      </c>
      <c r="F118" s="89" t="s">
        <v>906</v>
      </c>
      <c r="G118" s="89" t="s">
        <v>645</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1056</v>
      </c>
      <c r="B119" s="84" t="s">
        <v>1082</v>
      </c>
      <c r="C119" s="86" t="s">
        <v>1083</v>
      </c>
      <c r="D119" s="88" t="s">
        <v>1084</v>
      </c>
      <c r="E119" s="88" t="s">
        <v>1085</v>
      </c>
      <c r="F119" s="89" t="s">
        <v>634</v>
      </c>
      <c r="G119" s="89" t="s">
        <v>677</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1056</v>
      </c>
      <c r="B120" s="84" t="s">
        <v>1086</v>
      </c>
      <c r="C120" s="86" t="s">
        <v>1087</v>
      </c>
      <c r="D120" s="88" t="s">
        <v>1088</v>
      </c>
      <c r="E120" s="88" t="s">
        <v>1089</v>
      </c>
      <c r="F120" s="89" t="s">
        <v>906</v>
      </c>
      <c r="G120" s="89" t="s">
        <v>677</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1056</v>
      </c>
      <c r="B121" s="84" t="s">
        <v>1090</v>
      </c>
      <c r="C121" s="86" t="s">
        <v>1091</v>
      </c>
      <c r="D121" s="88" t="s">
        <v>1092</v>
      </c>
      <c r="E121" s="88" t="s">
        <v>1093</v>
      </c>
      <c r="F121" s="89" t="s">
        <v>906</v>
      </c>
      <c r="G121" s="89" t="s">
        <v>677</v>
      </c>
      <c r="H121" s="89">
        <v>3</v>
      </c>
      <c r="I121" s="91">
        <f>IF(COUNTIF(J121:AW121,"&lt;&gt;")=0,"",SUMPRODUCT(((Recommendations[ImplStatus]="Implemented")+(Recommendations[ImplStatus]="Compensated"))*ISNUMBER(MATCH(Recommendations[Id],J121:AW121,0)))/COUNTIF(J121:AW121,"&lt;&gt;"))</f>
        <v>0</v>
      </c>
      <c r="J121" s="93" t="s">
        <v>104</v>
      </c>
      <c r="K121" s="93" t="s">
        <v>166</v>
      </c>
      <c r="L121" s="93" t="s">
        <v>265</v>
      </c>
      <c r="M121" s="93" t="s">
        <v>280</v>
      </c>
      <c r="N121" s="93" t="s">
        <v>309</v>
      </c>
      <c r="O121" s="93" t="s">
        <v>319</v>
      </c>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1056</v>
      </c>
      <c r="B122" s="84" t="s">
        <v>1094</v>
      </c>
      <c r="C122" s="86" t="s">
        <v>1095</v>
      </c>
      <c r="D122" s="88" t="s">
        <v>1096</v>
      </c>
      <c r="E122" s="88" t="s">
        <v>1097</v>
      </c>
      <c r="F122" s="89" t="s">
        <v>906</v>
      </c>
      <c r="G122" s="89" t="s">
        <v>677</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1056</v>
      </c>
      <c r="B123" s="84" t="s">
        <v>1098</v>
      </c>
      <c r="C123" s="86" t="s">
        <v>1099</v>
      </c>
      <c r="D123" s="88" t="s">
        <v>1100</v>
      </c>
      <c r="E123" s="88" t="s">
        <v>1101</v>
      </c>
      <c r="F123" s="89" t="s">
        <v>906</v>
      </c>
      <c r="G123" s="89" t="s">
        <v>645</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1102</v>
      </c>
      <c r="B124" s="83">
        <v>14</v>
      </c>
      <c r="C124" s="85" t="s">
        <v>21</v>
      </c>
      <c r="D124" s="87" t="s">
        <v>1103</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1102</v>
      </c>
      <c r="B125" s="84" t="s">
        <v>1104</v>
      </c>
      <c r="C125" s="86" t="s">
        <v>1105</v>
      </c>
      <c r="D125" s="88" t="s">
        <v>1106</v>
      </c>
      <c r="E125" s="88" t="s">
        <v>1107</v>
      </c>
      <c r="F125" s="89" t="s">
        <v>752</v>
      </c>
      <c r="G125" s="89" t="s">
        <v>693</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1102</v>
      </c>
      <c r="B126" s="84" t="s">
        <v>1108</v>
      </c>
      <c r="C126" s="86" t="s">
        <v>1109</v>
      </c>
      <c r="D126" s="88" t="s">
        <v>1110</v>
      </c>
      <c r="E126" s="88" t="s">
        <v>1111</v>
      </c>
      <c r="F126" s="89" t="s">
        <v>777</v>
      </c>
      <c r="G126" s="89" t="s">
        <v>677</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1102</v>
      </c>
      <c r="B127" s="84" t="s">
        <v>1112</v>
      </c>
      <c r="C127" s="86" t="s">
        <v>1113</v>
      </c>
      <c r="D127" s="88" t="s">
        <v>1114</v>
      </c>
      <c r="E127" s="88" t="s">
        <v>1115</v>
      </c>
      <c r="F127" s="89" t="s">
        <v>777</v>
      </c>
      <c r="G127" s="89" t="s">
        <v>677</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1102</v>
      </c>
      <c r="B128" s="84" t="s">
        <v>1116</v>
      </c>
      <c r="C128" s="86" t="s">
        <v>1117</v>
      </c>
      <c r="D128" s="88" t="s">
        <v>1118</v>
      </c>
      <c r="E128" s="88" t="s">
        <v>1119</v>
      </c>
      <c r="F128" s="89" t="s">
        <v>777</v>
      </c>
      <c r="G128" s="89" t="s">
        <v>677</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1102</v>
      </c>
      <c r="B129" s="84" t="s">
        <v>1120</v>
      </c>
      <c r="C129" s="86" t="s">
        <v>1121</v>
      </c>
      <c r="D129" s="88" t="s">
        <v>1122</v>
      </c>
      <c r="E129" s="88" t="s">
        <v>1123</v>
      </c>
      <c r="F129" s="89" t="s">
        <v>777</v>
      </c>
      <c r="G129" s="89" t="s">
        <v>677</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1102</v>
      </c>
      <c r="B130" s="84" t="s">
        <v>1124</v>
      </c>
      <c r="C130" s="86" t="s">
        <v>1125</v>
      </c>
      <c r="D130" s="88" t="s">
        <v>1126</v>
      </c>
      <c r="E130" s="88" t="s">
        <v>1127</v>
      </c>
      <c r="F130" s="89" t="s">
        <v>777</v>
      </c>
      <c r="G130" s="89" t="s">
        <v>677</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1102</v>
      </c>
      <c r="B131" s="84" t="s">
        <v>1128</v>
      </c>
      <c r="C131" s="86" t="s">
        <v>1129</v>
      </c>
      <c r="D131" s="88" t="s">
        <v>1130</v>
      </c>
      <c r="E131" s="88" t="s">
        <v>1131</v>
      </c>
      <c r="F131" s="89" t="s">
        <v>777</v>
      </c>
      <c r="G131" s="89" t="s">
        <v>677</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1102</v>
      </c>
      <c r="B132" s="84" t="s">
        <v>1132</v>
      </c>
      <c r="C132" s="86" t="s">
        <v>1133</v>
      </c>
      <c r="D132" s="88" t="s">
        <v>1134</v>
      </c>
      <c r="E132" s="88" t="s">
        <v>1135</v>
      </c>
      <c r="F132" s="89" t="s">
        <v>777</v>
      </c>
      <c r="G132" s="89" t="s">
        <v>677</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1102</v>
      </c>
      <c r="B133" s="84" t="s">
        <v>1136</v>
      </c>
      <c r="C133" s="86" t="s">
        <v>1137</v>
      </c>
      <c r="D133" s="88" t="s">
        <v>1138</v>
      </c>
      <c r="E133" s="88" t="s">
        <v>1139</v>
      </c>
      <c r="F133" s="89" t="s">
        <v>777</v>
      </c>
      <c r="G133" s="89" t="s">
        <v>677</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1140</v>
      </c>
      <c r="B134" s="83">
        <v>15</v>
      </c>
      <c r="C134" s="85" t="s">
        <v>21</v>
      </c>
      <c r="D134" s="87" t="s">
        <v>1141</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1140</v>
      </c>
      <c r="B135" s="84" t="s">
        <v>1142</v>
      </c>
      <c r="C135" s="86" t="s">
        <v>1143</v>
      </c>
      <c r="D135" s="88" t="s">
        <v>1144</v>
      </c>
      <c r="E135" s="88" t="s">
        <v>1145</v>
      </c>
      <c r="F135" s="89" t="s">
        <v>777</v>
      </c>
      <c r="G135" s="89" t="s">
        <v>635</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1140</v>
      </c>
      <c r="B136" s="84" t="s">
        <v>1146</v>
      </c>
      <c r="C136" s="86" t="s">
        <v>1147</v>
      </c>
      <c r="D136" s="88" t="s">
        <v>1148</v>
      </c>
      <c r="E136" s="88" t="s">
        <v>1149</v>
      </c>
      <c r="F136" s="89" t="s">
        <v>752</v>
      </c>
      <c r="G136" s="89" t="s">
        <v>693</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1140</v>
      </c>
      <c r="B137" s="84" t="s">
        <v>1150</v>
      </c>
      <c r="C137" s="86" t="s">
        <v>1151</v>
      </c>
      <c r="D137" s="88" t="s">
        <v>1152</v>
      </c>
      <c r="E137" s="88" t="s">
        <v>1153</v>
      </c>
      <c r="F137" s="89" t="s">
        <v>777</v>
      </c>
      <c r="G137" s="89" t="s">
        <v>693</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1140</v>
      </c>
      <c r="B138" s="84" t="s">
        <v>1154</v>
      </c>
      <c r="C138" s="86" t="s">
        <v>1155</v>
      </c>
      <c r="D138" s="88" t="s">
        <v>1156</v>
      </c>
      <c r="E138" s="88" t="s">
        <v>1157</v>
      </c>
      <c r="F138" s="89" t="s">
        <v>752</v>
      </c>
      <c r="G138" s="89" t="s">
        <v>693</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1140</v>
      </c>
      <c r="B139" s="84" t="s">
        <v>1158</v>
      </c>
      <c r="C139" s="86" t="s">
        <v>1159</v>
      </c>
      <c r="D139" s="88" t="s">
        <v>1160</v>
      </c>
      <c r="E139" s="88" t="s">
        <v>1161</v>
      </c>
      <c r="F139" s="89" t="s">
        <v>777</v>
      </c>
      <c r="G139" s="89" t="s">
        <v>693</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1140</v>
      </c>
      <c r="B140" s="84" t="s">
        <v>1162</v>
      </c>
      <c r="C140" s="86" t="s">
        <v>1163</v>
      </c>
      <c r="D140" s="88" t="s">
        <v>1164</v>
      </c>
      <c r="E140" s="88" t="s">
        <v>1165</v>
      </c>
      <c r="F140" s="89" t="s">
        <v>692</v>
      </c>
      <c r="G140" s="89" t="s">
        <v>693</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1140</v>
      </c>
      <c r="B141" s="84" t="s">
        <v>1166</v>
      </c>
      <c r="C141" s="86" t="s">
        <v>1167</v>
      </c>
      <c r="D141" s="88" t="s">
        <v>1168</v>
      </c>
      <c r="E141" s="88" t="s">
        <v>1169</v>
      </c>
      <c r="F141" s="89" t="s">
        <v>692</v>
      </c>
      <c r="G141" s="89" t="s">
        <v>677</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1170</v>
      </c>
      <c r="B142" s="83">
        <v>16</v>
      </c>
      <c r="C142" s="85" t="s">
        <v>21</v>
      </c>
      <c r="D142" s="87" t="s">
        <v>1171</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1170</v>
      </c>
      <c r="B143" s="84" t="s">
        <v>1172</v>
      </c>
      <c r="C143" s="86" t="s">
        <v>1173</v>
      </c>
      <c r="D143" s="88" t="s">
        <v>1174</v>
      </c>
      <c r="E143" s="88" t="s">
        <v>1175</v>
      </c>
      <c r="F143" s="89" t="s">
        <v>752</v>
      </c>
      <c r="G143" s="89" t="s">
        <v>693</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1170</v>
      </c>
      <c r="B144" s="84" t="s">
        <v>1176</v>
      </c>
      <c r="C144" s="86" t="s">
        <v>1177</v>
      </c>
      <c r="D144" s="88" t="s">
        <v>1178</v>
      </c>
      <c r="E144" s="88" t="s">
        <v>1179</v>
      </c>
      <c r="F144" s="89" t="s">
        <v>752</v>
      </c>
      <c r="G144" s="89" t="s">
        <v>693</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1170</v>
      </c>
      <c r="B145" s="84" t="s">
        <v>1180</v>
      </c>
      <c r="C145" s="86" t="s">
        <v>1181</v>
      </c>
      <c r="D145" s="88" t="s">
        <v>1182</v>
      </c>
      <c r="E145" s="88" t="s">
        <v>1183</v>
      </c>
      <c r="F145" s="89" t="s">
        <v>660</v>
      </c>
      <c r="G145" s="89" t="s">
        <v>645</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1170</v>
      </c>
      <c r="B146" s="84" t="s">
        <v>1184</v>
      </c>
      <c r="C146" s="86" t="s">
        <v>1185</v>
      </c>
      <c r="D146" s="88" t="s">
        <v>1186</v>
      </c>
      <c r="E146" s="88" t="s">
        <v>1187</v>
      </c>
      <c r="F146" s="89" t="s">
        <v>660</v>
      </c>
      <c r="G146" s="89" t="s">
        <v>635</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1170</v>
      </c>
      <c r="B147" s="84" t="s">
        <v>1188</v>
      </c>
      <c r="C147" s="86" t="s">
        <v>1189</v>
      </c>
      <c r="D147" s="88" t="s">
        <v>1190</v>
      </c>
      <c r="E147" s="88" t="s">
        <v>1191</v>
      </c>
      <c r="F147" s="89" t="s">
        <v>660</v>
      </c>
      <c r="G147" s="89" t="s">
        <v>677</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1170</v>
      </c>
      <c r="B148" s="84" t="s">
        <v>1192</v>
      </c>
      <c r="C148" s="86" t="s">
        <v>1193</v>
      </c>
      <c r="D148" s="88" t="s">
        <v>1194</v>
      </c>
      <c r="E148" s="88" t="s">
        <v>1195</v>
      </c>
      <c r="F148" s="89" t="s">
        <v>752</v>
      </c>
      <c r="G148" s="89" t="s">
        <v>693</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1170</v>
      </c>
      <c r="B149" s="84" t="s">
        <v>1196</v>
      </c>
      <c r="C149" s="86" t="s">
        <v>1197</v>
      </c>
      <c r="D149" s="88" t="s">
        <v>1198</v>
      </c>
      <c r="E149" s="88" t="s">
        <v>1199</v>
      </c>
      <c r="F149" s="89" t="s">
        <v>660</v>
      </c>
      <c r="G149" s="89" t="s">
        <v>677</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1170</v>
      </c>
      <c r="B150" s="84" t="s">
        <v>1200</v>
      </c>
      <c r="C150" s="86" t="s">
        <v>1201</v>
      </c>
      <c r="D150" s="88" t="s">
        <v>1202</v>
      </c>
      <c r="E150" s="88" t="s">
        <v>1203</v>
      </c>
      <c r="F150" s="89" t="s">
        <v>906</v>
      </c>
      <c r="G150" s="89" t="s">
        <v>677</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1170</v>
      </c>
      <c r="B151" s="84" t="s">
        <v>1204</v>
      </c>
      <c r="C151" s="86" t="s">
        <v>1205</v>
      </c>
      <c r="D151" s="88" t="s">
        <v>1206</v>
      </c>
      <c r="E151" s="88" t="s">
        <v>1207</v>
      </c>
      <c r="F151" s="89" t="s">
        <v>777</v>
      </c>
      <c r="G151" s="89" t="s">
        <v>677</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1170</v>
      </c>
      <c r="B152" s="84" t="s">
        <v>1208</v>
      </c>
      <c r="C152" s="86" t="s">
        <v>1209</v>
      </c>
      <c r="D152" s="88" t="s">
        <v>1210</v>
      </c>
      <c r="E152" s="88" t="s">
        <v>1211</v>
      </c>
      <c r="F152" s="89" t="s">
        <v>660</v>
      </c>
      <c r="G152" s="89" t="s">
        <v>677</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1170</v>
      </c>
      <c r="B153" s="84" t="s">
        <v>1212</v>
      </c>
      <c r="C153" s="86" t="s">
        <v>1213</v>
      </c>
      <c r="D153" s="88" t="s">
        <v>1214</v>
      </c>
      <c r="E153" s="88" t="s">
        <v>1215</v>
      </c>
      <c r="F153" s="89" t="s">
        <v>660</v>
      </c>
      <c r="G153" s="89" t="s">
        <v>677</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1170</v>
      </c>
      <c r="B154" s="84" t="s">
        <v>1216</v>
      </c>
      <c r="C154" s="86" t="s">
        <v>1217</v>
      </c>
      <c r="D154" s="88" t="s">
        <v>1218</v>
      </c>
      <c r="E154" s="88" t="s">
        <v>1219</v>
      </c>
      <c r="F154" s="89" t="s">
        <v>660</v>
      </c>
      <c r="G154" s="89" t="s">
        <v>677</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1170</v>
      </c>
      <c r="B155" s="84" t="s">
        <v>1220</v>
      </c>
      <c r="C155" s="86" t="s">
        <v>1221</v>
      </c>
      <c r="D155" s="88" t="s">
        <v>1222</v>
      </c>
      <c r="E155" s="88" t="s">
        <v>1223</v>
      </c>
      <c r="F155" s="89" t="s">
        <v>660</v>
      </c>
      <c r="G155" s="89" t="s">
        <v>645</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1170</v>
      </c>
      <c r="B156" s="84" t="s">
        <v>1224</v>
      </c>
      <c r="C156" s="86" t="s">
        <v>1225</v>
      </c>
      <c r="D156" s="88" t="s">
        <v>1226</v>
      </c>
      <c r="E156" s="88" t="s">
        <v>1227</v>
      </c>
      <c r="F156" s="89" t="s">
        <v>660</v>
      </c>
      <c r="G156" s="89" t="s">
        <v>677</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1228</v>
      </c>
      <c r="B157" s="83">
        <v>17</v>
      </c>
      <c r="C157" s="85" t="s">
        <v>21</v>
      </c>
      <c r="D157" s="87" t="s">
        <v>1229</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1228</v>
      </c>
      <c r="B158" s="84" t="s">
        <v>1230</v>
      </c>
      <c r="C158" s="86" t="s">
        <v>1231</v>
      </c>
      <c r="D158" s="88" t="s">
        <v>1232</v>
      </c>
      <c r="E158" s="88" t="s">
        <v>1233</v>
      </c>
      <c r="F158" s="89" t="s">
        <v>777</v>
      </c>
      <c r="G158" s="89" t="s">
        <v>640</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1228</v>
      </c>
      <c r="B159" s="84" t="s">
        <v>1234</v>
      </c>
      <c r="C159" s="86" t="s">
        <v>1235</v>
      </c>
      <c r="D159" s="88" t="s">
        <v>1236</v>
      </c>
      <c r="E159" s="88" t="s">
        <v>1237</v>
      </c>
      <c r="F159" s="89" t="s">
        <v>752</v>
      </c>
      <c r="G159" s="89" t="s">
        <v>693</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1228</v>
      </c>
      <c r="B160" s="84" t="s">
        <v>1238</v>
      </c>
      <c r="C160" s="86" t="s">
        <v>1239</v>
      </c>
      <c r="D160" s="88" t="s">
        <v>1240</v>
      </c>
      <c r="E160" s="88" t="s">
        <v>1241</v>
      </c>
      <c r="F160" s="89" t="s">
        <v>752</v>
      </c>
      <c r="G160" s="89" t="s">
        <v>693</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1228</v>
      </c>
      <c r="B161" s="84" t="s">
        <v>1242</v>
      </c>
      <c r="C161" s="86" t="s">
        <v>1243</v>
      </c>
      <c r="D161" s="88" t="s">
        <v>1244</v>
      </c>
      <c r="E161" s="88" t="s">
        <v>1245</v>
      </c>
      <c r="F161" s="89" t="s">
        <v>752</v>
      </c>
      <c r="G161" s="89" t="s">
        <v>693</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1228</v>
      </c>
      <c r="B162" s="84" t="s">
        <v>1246</v>
      </c>
      <c r="C162" s="86" t="s">
        <v>1247</v>
      </c>
      <c r="D162" s="88" t="s">
        <v>1248</v>
      </c>
      <c r="E162" s="88" t="s">
        <v>1249</v>
      </c>
      <c r="F162" s="89" t="s">
        <v>777</v>
      </c>
      <c r="G162" s="89" t="s">
        <v>640</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1228</v>
      </c>
      <c r="B163" s="84" t="s">
        <v>1250</v>
      </c>
      <c r="C163" s="86" t="s">
        <v>1251</v>
      </c>
      <c r="D163" s="88" t="s">
        <v>1252</v>
      </c>
      <c r="E163" s="88" t="s">
        <v>1253</v>
      </c>
      <c r="F163" s="89" t="s">
        <v>777</v>
      </c>
      <c r="G163" s="89" t="s">
        <v>640</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1228</v>
      </c>
      <c r="B164" s="84" t="s">
        <v>1254</v>
      </c>
      <c r="C164" s="86" t="s">
        <v>1255</v>
      </c>
      <c r="D164" s="88" t="s">
        <v>1256</v>
      </c>
      <c r="E164" s="88" t="s">
        <v>1257</v>
      </c>
      <c r="F164" s="89" t="s">
        <v>777</v>
      </c>
      <c r="G164" s="89" t="s">
        <v>1009</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1228</v>
      </c>
      <c r="B165" s="84" t="s">
        <v>1258</v>
      </c>
      <c r="C165" s="86" t="s">
        <v>1259</v>
      </c>
      <c r="D165" s="88" t="s">
        <v>1260</v>
      </c>
      <c r="E165" s="88" t="s">
        <v>1261</v>
      </c>
      <c r="F165" s="89" t="s">
        <v>777</v>
      </c>
      <c r="G165" s="89" t="s">
        <v>1009</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1228</v>
      </c>
      <c r="B166" s="84" t="s">
        <v>1262</v>
      </c>
      <c r="C166" s="86" t="s">
        <v>1263</v>
      </c>
      <c r="D166" s="88" t="s">
        <v>1264</v>
      </c>
      <c r="E166" s="88" t="s">
        <v>1265</v>
      </c>
      <c r="F166" s="89" t="s">
        <v>752</v>
      </c>
      <c r="G166" s="89" t="s">
        <v>1009</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1266</v>
      </c>
      <c r="B167" s="83">
        <v>18</v>
      </c>
      <c r="C167" s="85" t="s">
        <v>21</v>
      </c>
      <c r="D167" s="87" t="s">
        <v>1267</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1266</v>
      </c>
      <c r="B168" s="84" t="s">
        <v>1268</v>
      </c>
      <c r="C168" s="86" t="s">
        <v>1269</v>
      </c>
      <c r="D168" s="88" t="s">
        <v>1270</v>
      </c>
      <c r="E168" s="88" t="s">
        <v>1271</v>
      </c>
      <c r="F168" s="89" t="s">
        <v>752</v>
      </c>
      <c r="G168" s="89" t="s">
        <v>693</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1266</v>
      </c>
      <c r="B169" s="84" t="s">
        <v>1272</v>
      </c>
      <c r="C169" s="86" t="s">
        <v>1273</v>
      </c>
      <c r="D169" s="88" t="s">
        <v>1274</v>
      </c>
      <c r="E169" s="88" t="s">
        <v>1275</v>
      </c>
      <c r="F169" s="89" t="s">
        <v>906</v>
      </c>
      <c r="G169" s="89" t="s">
        <v>645</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1266</v>
      </c>
      <c r="B170" s="84" t="s">
        <v>1276</v>
      </c>
      <c r="C170" s="86" t="s">
        <v>1277</v>
      </c>
      <c r="D170" s="88" t="s">
        <v>1278</v>
      </c>
      <c r="E170" s="88" t="s">
        <v>1279</v>
      </c>
      <c r="F170" s="89" t="s">
        <v>906</v>
      </c>
      <c r="G170" s="89" t="s">
        <v>677</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1266</v>
      </c>
      <c r="B171" s="84" t="s">
        <v>1280</v>
      </c>
      <c r="C171" s="86" t="s">
        <v>1281</v>
      </c>
      <c r="D171" s="88" t="s">
        <v>1282</v>
      </c>
      <c r="E171" s="88" t="s">
        <v>1283</v>
      </c>
      <c r="F171" s="89" t="s">
        <v>906</v>
      </c>
      <c r="G171" s="89" t="s">
        <v>677</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1266</v>
      </c>
      <c r="B172" s="94" t="s">
        <v>1284</v>
      </c>
      <c r="C172" s="95" t="s">
        <v>1285</v>
      </c>
      <c r="D172" s="96" t="s">
        <v>1286</v>
      </c>
      <c r="E172" s="96" t="s">
        <v>1287</v>
      </c>
      <c r="F172" s="97" t="s">
        <v>906</v>
      </c>
      <c r="G172" s="97" t="s">
        <v>645</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334</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IFERROR(INDEX('Recommendations'!$H$2:$H$64, MATCH(J2,'Recommendations'!$A$2:$A$64,0))="Implemented", FALSE))</xm:f>
            <x14:dxf>
              <font>
                <color rgb="FF000000"/>
              </font>
              <fill>
                <patternFill>
                  <bgColor rgb="FF3C7D22"/>
                </patternFill>
              </fill>
            </x14:dxf>
          </x14:cfRule>
          <x14:cfRule type="expression" priority="2" id="{00000000-000E-0000-0400-000002000000}">
            <xm:f>AND(J2&lt;&gt;"", IFERROR(INDEX('Recommendations'!$H$2:$H$64, MATCH(J2,'Recommendations'!$A$2:$A$64,0))="Compensated", FALSE))</xm:f>
            <x14:dxf>
              <font>
                <color rgb="FF000000"/>
              </font>
              <fill>
                <patternFill>
                  <bgColor rgb="FFC6E0B4"/>
                </patternFill>
              </fill>
            </x14:dxf>
          </x14:cfRule>
          <x14:cfRule type="expression" priority="3" id="{00000000-000E-0000-0400-000003000000}">
            <xm:f>AND(J2&lt;&gt;"", IFERROR(INDEX('Recommendations'!$H$2:$H$64, MATCH(J2,'Recommendations'!$A$2:$A$64,0))="Testing", FALSE))</xm:f>
            <x14:dxf>
              <font>
                <color rgb="FF000000"/>
              </font>
              <fill>
                <patternFill>
                  <bgColor rgb="FFFFC000"/>
                </patternFill>
              </fill>
            </x14:dxf>
          </x14:cfRule>
          <x14:cfRule type="expression" priority="4" id="{00000000-000E-0000-0400-000004000000}">
            <xm:f>AND(J2&lt;&gt;"", IFERROR(INDEX('Recommendations'!$H$2:$H$64, MATCH(J2,'Recommendations'!$A$2:$A$64,0))="Failed", FALSE))</xm:f>
            <x14:dxf>
              <font>
                <color rgb="FF000000"/>
              </font>
              <fill>
                <patternFill>
                  <bgColor rgb="FFD82891"/>
                </patternFill>
              </fill>
            </x14:dxf>
          </x14:cfRule>
          <x14:cfRule type="expression" priority="5" id="{00000000-000E-0000-0400-000005000000}">
            <xm:f>AND(J2&lt;&gt;"", IFERROR(INDEX('Recommendations'!$H$2:$H$64, MATCH(J2,'Recommendations'!$A$2:$A$64,0))="Risk Accepted", FALSE))</xm:f>
            <x14:dxf>
              <font>
                <color rgb="FF000000"/>
              </font>
              <fill>
                <patternFill>
                  <bgColor rgb="FFD9D9D9"/>
                </patternFill>
              </fill>
            </x14:dxf>
          </x14:cfRule>
          <x14:cfRule type="expression" priority="6" id="{00000000-000E-0000-0400-000006000000}">
            <xm:f>AND(J2&lt;&gt;"", IFERROR(INDEX('Recommendations'!$H$2:$H$64, MATCH(J2,'Recommendations'!$A$2:$A$64,0))="N/A",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1288</v>
      </c>
      <c r="C1" s="124" t="s">
        <v>10</v>
      </c>
      <c r="D1" s="124" t="s">
        <v>493</v>
      </c>
      <c r="E1" s="124" t="s">
        <v>1289</v>
      </c>
      <c r="F1" s="124" t="s">
        <v>1290</v>
      </c>
      <c r="G1" s="124" t="s">
        <v>587</v>
      </c>
      <c r="H1" s="124" t="s">
        <v>588</v>
      </c>
      <c r="I1" s="124" t="s">
        <v>589</v>
      </c>
      <c r="J1" s="124" t="s">
        <v>590</v>
      </c>
      <c r="K1" s="124" t="s">
        <v>591</v>
      </c>
      <c r="L1" s="124" t="s">
        <v>592</v>
      </c>
      <c r="M1" s="124" t="s">
        <v>593</v>
      </c>
      <c r="N1" s="124" t="s">
        <v>594</v>
      </c>
      <c r="O1" s="124" t="s">
        <v>595</v>
      </c>
      <c r="P1" s="124" t="s">
        <v>596</v>
      </c>
      <c r="Q1" s="124" t="s">
        <v>597</v>
      </c>
      <c r="R1" s="124" t="s">
        <v>598</v>
      </c>
      <c r="S1" s="124" t="s">
        <v>599</v>
      </c>
      <c r="T1" s="124" t="s">
        <v>600</v>
      </c>
      <c r="U1" s="124" t="s">
        <v>601</v>
      </c>
      <c r="V1" s="124" t="s">
        <v>602</v>
      </c>
      <c r="W1" s="124" t="s">
        <v>603</v>
      </c>
      <c r="X1" s="124" t="s">
        <v>604</v>
      </c>
      <c r="Y1" s="124" t="s">
        <v>605</v>
      </c>
      <c r="Z1" s="124" t="s">
        <v>606</v>
      </c>
      <c r="AA1" s="124" t="s">
        <v>607</v>
      </c>
      <c r="AB1" s="124" t="s">
        <v>608</v>
      </c>
      <c r="AC1" s="124" t="s">
        <v>609</v>
      </c>
      <c r="AD1" s="124" t="s">
        <v>610</v>
      </c>
      <c r="AE1" s="124" t="s">
        <v>611</v>
      </c>
      <c r="AF1" s="124" t="s">
        <v>612</v>
      </c>
      <c r="AG1" s="124" t="s">
        <v>613</v>
      </c>
      <c r="AH1" s="124" t="s">
        <v>614</v>
      </c>
      <c r="AI1" s="124" t="s">
        <v>615</v>
      </c>
      <c r="AJ1" s="124" t="s">
        <v>616</v>
      </c>
      <c r="AK1" s="124" t="s">
        <v>617</v>
      </c>
      <c r="AL1" s="124" t="s">
        <v>618</v>
      </c>
      <c r="AM1" s="124" t="s">
        <v>619</v>
      </c>
      <c r="AN1" s="124" t="s">
        <v>620</v>
      </c>
      <c r="AO1" s="124" t="s">
        <v>621</v>
      </c>
      <c r="AP1" s="124" t="s">
        <v>622</v>
      </c>
      <c r="AQ1" s="124" t="s">
        <v>623</v>
      </c>
      <c r="AR1" s="124" t="s">
        <v>624</v>
      </c>
      <c r="AS1" s="124" t="s">
        <v>625</v>
      </c>
      <c r="AT1" s="124" t="s">
        <v>626</v>
      </c>
      <c r="AU1" s="125" t="s">
        <v>627</v>
      </c>
    </row>
    <row r="2" spans="1:47" ht="60" customHeight="1" x14ac:dyDescent="0.35">
      <c r="A2" s="119" t="s">
        <v>1291</v>
      </c>
      <c r="B2" s="109" t="s">
        <v>1292</v>
      </c>
      <c r="C2" s="110" t="s">
        <v>1293</v>
      </c>
      <c r="D2" s="110" t="s">
        <v>1294</v>
      </c>
      <c r="E2" s="110" t="s">
        <v>1295</v>
      </c>
      <c r="F2" s="111" t="s">
        <v>1296</v>
      </c>
      <c r="G2" s="112">
        <f>IF(COUNTIF(H2:AU2,"&lt;&gt;")=0,"",SUMPRODUCT(((Recommendations[ImplStatus]="Implemented")+(Recommendations[ImplStatus]="Compensated"))*ISNUMBER(MATCH(Recommendations[Id],H2:AU2,0)))/COUNTIF(H2:AU2,"&lt;&gt;"))</f>
        <v>0</v>
      </c>
      <c r="H2" s="113" t="s">
        <v>31</v>
      </c>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1297</v>
      </c>
      <c r="B3" s="109" t="s">
        <v>1298</v>
      </c>
      <c r="C3" s="110" t="s">
        <v>1299</v>
      </c>
      <c r="D3" s="110" t="s">
        <v>1300</v>
      </c>
      <c r="E3" s="110" t="s">
        <v>1301</v>
      </c>
      <c r="F3" s="111" t="s">
        <v>1302</v>
      </c>
      <c r="G3" s="112">
        <f>IF(COUNTIF(H3:AU3,"&lt;&gt;")=0,"",SUMPRODUCT(((Recommendations[ImplStatus]="Implemented")+(Recommendations[ImplStatus]="Compensated"))*ISNUMBER(MATCH(Recommendations[Id],H3:AU3,0)))/COUNTIF(H3:AU3,"&lt;&gt;"))</f>
        <v>0</v>
      </c>
      <c r="H3" s="113" t="s">
        <v>46</v>
      </c>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1303</v>
      </c>
      <c r="B4" s="109" t="s">
        <v>1304</v>
      </c>
      <c r="C4" s="110" t="s">
        <v>1305</v>
      </c>
      <c r="D4" s="110" t="s">
        <v>1306</v>
      </c>
      <c r="E4" s="110" t="s">
        <v>1307</v>
      </c>
      <c r="F4" s="111" t="s">
        <v>1308</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1309</v>
      </c>
      <c r="B5" s="109" t="s">
        <v>1310</v>
      </c>
      <c r="C5" s="110" t="s">
        <v>1311</v>
      </c>
      <c r="D5" s="110" t="s">
        <v>1312</v>
      </c>
      <c r="E5" s="110" t="s">
        <v>1313</v>
      </c>
      <c r="F5" s="111" t="s">
        <v>1314</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1315</v>
      </c>
      <c r="B6" s="109" t="s">
        <v>1316</v>
      </c>
      <c r="C6" s="110" t="s">
        <v>1317</v>
      </c>
      <c r="D6" s="110" t="s">
        <v>1318</v>
      </c>
      <c r="E6" s="110" t="s">
        <v>21</v>
      </c>
      <c r="F6" s="111" t="s">
        <v>1319</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1320</v>
      </c>
      <c r="B7" s="109" t="s">
        <v>11</v>
      </c>
      <c r="C7" s="110" t="s">
        <v>1321</v>
      </c>
      <c r="D7" s="110" t="s">
        <v>1322</v>
      </c>
      <c r="E7" s="110" t="s">
        <v>21</v>
      </c>
      <c r="F7" s="111" t="s">
        <v>1323</v>
      </c>
      <c r="G7" s="112">
        <f>IF(COUNTIF(H7:AU7,"&lt;&gt;")=0,"",SUMPRODUCT(((Recommendations[ImplStatus]="Implemented")+(Recommendations[ImplStatus]="Compensated"))*ISNUMBER(MATCH(Recommendations[Id],H7:AU7,0)))/COUNTIF(H7:AU7,"&lt;&gt;"))</f>
        <v>0</v>
      </c>
      <c r="H7" s="113" t="s">
        <v>14</v>
      </c>
      <c r="I7" s="113" t="s">
        <v>109</v>
      </c>
      <c r="J7" s="113" t="s">
        <v>160</v>
      </c>
      <c r="K7" s="113" t="s">
        <v>176</v>
      </c>
      <c r="L7" s="113" t="s">
        <v>260</v>
      </c>
      <c r="M7" s="113" t="s">
        <v>275</v>
      </c>
      <c r="N7" s="113" t="s">
        <v>303</v>
      </c>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1324</v>
      </c>
      <c r="B8" s="109" t="s">
        <v>1325</v>
      </c>
      <c r="C8" s="110" t="s">
        <v>1326</v>
      </c>
      <c r="D8" s="110" t="s">
        <v>1327</v>
      </c>
      <c r="E8" s="110" t="s">
        <v>21</v>
      </c>
      <c r="F8" s="111" t="s">
        <v>1328</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1329</v>
      </c>
      <c r="B9" s="109" t="s">
        <v>1330</v>
      </c>
      <c r="C9" s="110" t="s">
        <v>1331</v>
      </c>
      <c r="D9" s="110" t="s">
        <v>1332</v>
      </c>
      <c r="E9" s="110" t="s">
        <v>21</v>
      </c>
      <c r="F9" s="111" t="s">
        <v>1333</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1334</v>
      </c>
      <c r="B10" s="109" t="s">
        <v>1335</v>
      </c>
      <c r="C10" s="110" t="s">
        <v>1336</v>
      </c>
      <c r="D10" s="110" t="s">
        <v>1337</v>
      </c>
      <c r="E10" s="110" t="s">
        <v>21</v>
      </c>
      <c r="F10" s="111" t="s">
        <v>1338</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1339</v>
      </c>
      <c r="B11" s="109" t="s">
        <v>1340</v>
      </c>
      <c r="C11" s="110" t="s">
        <v>1341</v>
      </c>
      <c r="D11" s="110" t="s">
        <v>1342</v>
      </c>
      <c r="E11" s="110" t="s">
        <v>21</v>
      </c>
      <c r="F11" s="111" t="s">
        <v>1343</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1344</v>
      </c>
      <c r="B12" s="109" t="s">
        <v>1345</v>
      </c>
      <c r="C12" s="110" t="s">
        <v>1346</v>
      </c>
      <c r="D12" s="110" t="s">
        <v>1347</v>
      </c>
      <c r="E12" s="110" t="s">
        <v>21</v>
      </c>
      <c r="F12" s="111" t="s">
        <v>1348</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1349</v>
      </c>
      <c r="B13" s="109" t="s">
        <v>1350</v>
      </c>
      <c r="C13" s="110" t="s">
        <v>1351</v>
      </c>
      <c r="D13" s="110" t="s">
        <v>1352</v>
      </c>
      <c r="E13" s="110" t="s">
        <v>21</v>
      </c>
      <c r="F13" s="111" t="s">
        <v>1353</v>
      </c>
      <c r="G13" s="112">
        <f>IF(COUNTIF(H13:AU13,"&lt;&gt;")=0,"",SUMPRODUCT(((Recommendations[ImplStatus]="Implemented")+(Recommendations[ImplStatus]="Compensated"))*ISNUMBER(MATCH(Recommendations[Id],H13:AU13,0)))/COUNTIF(H13:AU13,"&lt;&gt;"))</f>
        <v>0</v>
      </c>
      <c r="H13" s="113" t="s">
        <v>114</v>
      </c>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1354</v>
      </c>
      <c r="B14" s="109" t="s">
        <v>1355</v>
      </c>
      <c r="C14" s="110" t="s">
        <v>1356</v>
      </c>
      <c r="D14" s="110" t="s">
        <v>1357</v>
      </c>
      <c r="E14" s="110" t="s">
        <v>21</v>
      </c>
      <c r="F14" s="111" t="s">
        <v>1358</v>
      </c>
      <c r="G14" s="112">
        <f>IF(COUNTIF(H14:AU14,"&lt;&gt;")=0,"",SUMPRODUCT(((Recommendations[ImplStatus]="Implemented")+(Recommendations[ImplStatus]="Compensated"))*ISNUMBER(MATCH(Recommendations[Id],H14:AU14,0)))/COUNTIF(H14:AU14,"&lt;&gt;"))</f>
        <v>0</v>
      </c>
      <c r="H14" s="113" t="s">
        <v>135</v>
      </c>
      <c r="I14" s="113" t="s">
        <v>140</v>
      </c>
      <c r="J14" s="113" t="s">
        <v>181</v>
      </c>
      <c r="K14" s="113" t="s">
        <v>187</v>
      </c>
      <c r="L14" s="113" t="s">
        <v>192</v>
      </c>
      <c r="M14" s="113" t="s">
        <v>237</v>
      </c>
      <c r="N14" s="113" t="s">
        <v>242</v>
      </c>
      <c r="O14" s="113" t="s">
        <v>247</v>
      </c>
      <c r="P14" s="113" t="s">
        <v>251</v>
      </c>
      <c r="Q14" s="113" t="s">
        <v>285</v>
      </c>
      <c r="R14" s="113" t="s">
        <v>290</v>
      </c>
      <c r="S14" s="113" t="s">
        <v>294</v>
      </c>
      <c r="T14" s="113" t="s">
        <v>299</v>
      </c>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1359</v>
      </c>
      <c r="B15" s="109" t="s">
        <v>1360</v>
      </c>
      <c r="C15" s="110" t="s">
        <v>1361</v>
      </c>
      <c r="D15" s="110" t="s">
        <v>1362</v>
      </c>
      <c r="E15" s="110" t="s">
        <v>21</v>
      </c>
      <c r="F15" s="111" t="s">
        <v>1363</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1364</v>
      </c>
      <c r="B16" s="109" t="s">
        <v>1365</v>
      </c>
      <c r="C16" s="110" t="s">
        <v>1366</v>
      </c>
      <c r="D16" s="110" t="s">
        <v>1367</v>
      </c>
      <c r="E16" s="110" t="s">
        <v>21</v>
      </c>
      <c r="F16" s="111" t="s">
        <v>1368</v>
      </c>
      <c r="G16" s="112">
        <f>IF(COUNTIF(H16:AU16,"&lt;&gt;")=0,"",SUMPRODUCT(((Recommendations[ImplStatus]="Implemented")+(Recommendations[ImplStatus]="Compensated"))*ISNUMBER(MATCH(Recommendations[Id],H16:AU16,0)))/COUNTIF(H16:AU16,"&lt;&gt;"))</f>
        <v>0</v>
      </c>
      <c r="H16" s="113" t="s">
        <v>56</v>
      </c>
      <c r="I16" s="113" t="s">
        <v>125</v>
      </c>
      <c r="J16" s="113" t="s">
        <v>145</v>
      </c>
      <c r="K16" s="113" t="s">
        <v>197</v>
      </c>
      <c r="L16" s="113" t="s">
        <v>207</v>
      </c>
      <c r="M16" s="113" t="s">
        <v>232</v>
      </c>
      <c r="N16" s="113" t="s">
        <v>255</v>
      </c>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1369</v>
      </c>
      <c r="B17" s="109" t="s">
        <v>1370</v>
      </c>
      <c r="C17" s="110" t="s">
        <v>1371</v>
      </c>
      <c r="D17" s="110" t="s">
        <v>1372</v>
      </c>
      <c r="E17" s="110" t="s">
        <v>21</v>
      </c>
      <c r="F17" s="111" t="s">
        <v>1373</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1374</v>
      </c>
      <c r="B18" s="109" t="s">
        <v>1375</v>
      </c>
      <c r="C18" s="110" t="s">
        <v>1376</v>
      </c>
      <c r="D18" s="110" t="s">
        <v>1377</v>
      </c>
      <c r="E18" s="110" t="s">
        <v>21</v>
      </c>
      <c r="F18" s="111" t="s">
        <v>1378</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1379</v>
      </c>
      <c r="B19" s="109" t="s">
        <v>1380</v>
      </c>
      <c r="C19" s="110" t="s">
        <v>1381</v>
      </c>
      <c r="D19" s="110" t="s">
        <v>1382</v>
      </c>
      <c r="E19" s="110" t="s">
        <v>21</v>
      </c>
      <c r="F19" s="111" t="s">
        <v>1383</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1384</v>
      </c>
      <c r="B20" s="109" t="s">
        <v>1385</v>
      </c>
      <c r="C20" s="110" t="s">
        <v>1386</v>
      </c>
      <c r="D20" s="110" t="s">
        <v>1387</v>
      </c>
      <c r="E20" s="110" t="s">
        <v>21</v>
      </c>
      <c r="F20" s="111" t="s">
        <v>1388</v>
      </c>
      <c r="G20" s="112">
        <f>IF(COUNTIF(H20:AU20,"&lt;&gt;")=0,"",SUMPRODUCT(((Recommendations[ImplStatus]="Implemented")+(Recommendations[ImplStatus]="Compensated"))*ISNUMBER(MATCH(Recommendations[Id],H20:AU20,0)))/COUNTIF(H20:AU20,"&lt;&gt;"))</f>
        <v>0</v>
      </c>
      <c r="H20" s="113" t="s">
        <v>171</v>
      </c>
      <c r="I20" s="113" t="s">
        <v>202</v>
      </c>
      <c r="J20" s="113" t="s">
        <v>270</v>
      </c>
      <c r="K20" s="113" t="s">
        <v>314</v>
      </c>
      <c r="L20" s="113" t="s">
        <v>324</v>
      </c>
      <c r="M20" s="113" t="s">
        <v>329</v>
      </c>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1389</v>
      </c>
      <c r="B21" s="109" t="s">
        <v>1390</v>
      </c>
      <c r="C21" s="110" t="s">
        <v>1391</v>
      </c>
      <c r="D21" s="110" t="s">
        <v>1392</v>
      </c>
      <c r="E21" s="110" t="s">
        <v>1393</v>
      </c>
      <c r="F21" s="111" t="s">
        <v>1394</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1395</v>
      </c>
      <c r="B22" s="109" t="s">
        <v>1396</v>
      </c>
      <c r="C22" s="110" t="s">
        <v>1397</v>
      </c>
      <c r="D22" s="110" t="s">
        <v>1398</v>
      </c>
      <c r="E22" s="110" t="s">
        <v>1399</v>
      </c>
      <c r="F22" s="111" t="s">
        <v>1400</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1401</v>
      </c>
      <c r="B23" s="109" t="s">
        <v>1402</v>
      </c>
      <c r="C23" s="110" t="s">
        <v>1403</v>
      </c>
      <c r="D23" s="110" t="s">
        <v>1404</v>
      </c>
      <c r="E23" s="110" t="s">
        <v>1405</v>
      </c>
      <c r="F23" s="111" t="s">
        <v>1406</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1407</v>
      </c>
      <c r="B24" s="109" t="s">
        <v>1408</v>
      </c>
      <c r="C24" s="110" t="s">
        <v>1409</v>
      </c>
      <c r="D24" s="110" t="s">
        <v>1410</v>
      </c>
      <c r="E24" s="110" t="s">
        <v>21</v>
      </c>
      <c r="F24" s="111" t="s">
        <v>1411</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1412</v>
      </c>
      <c r="B25" s="109" t="s">
        <v>1413</v>
      </c>
      <c r="C25" s="110" t="s">
        <v>1414</v>
      </c>
      <c r="D25" s="110" t="s">
        <v>21</v>
      </c>
      <c r="E25" s="110" t="s">
        <v>21</v>
      </c>
      <c r="F25" s="111" t="s">
        <v>1415</v>
      </c>
      <c r="G25" s="112">
        <f>IF(COUNTIF(H25:AU25,"&lt;&gt;")=0,"",SUMPRODUCT(((Recommendations[ImplStatus]="Implemented")+(Recommendations[ImplStatus]="Compensated"))*ISNUMBER(MATCH(Recommendations[Id],H25:AU25,0)))/COUNTIF(H25:AU25,"&lt;&gt;"))</f>
        <v>0</v>
      </c>
      <c r="H25" s="113" t="s">
        <v>280</v>
      </c>
      <c r="I25" s="113" t="s">
        <v>319</v>
      </c>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1416</v>
      </c>
      <c r="B26" s="109" t="s">
        <v>1417</v>
      </c>
      <c r="C26" s="110" t="s">
        <v>1418</v>
      </c>
      <c r="D26" s="110" t="s">
        <v>1419</v>
      </c>
      <c r="E26" s="110" t="s">
        <v>21</v>
      </c>
      <c r="F26" s="111" t="s">
        <v>1420</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1421</v>
      </c>
      <c r="B27" s="109" t="s">
        <v>1422</v>
      </c>
      <c r="C27" s="110" t="s">
        <v>1423</v>
      </c>
      <c r="D27" s="110" t="s">
        <v>1424</v>
      </c>
      <c r="E27" s="110" t="s">
        <v>1425</v>
      </c>
      <c r="F27" s="111" t="s">
        <v>1426</v>
      </c>
      <c r="G27" s="112">
        <f>IF(COUNTIF(H27:AU27,"&lt;&gt;")=0,"",SUMPRODUCT(((Recommendations[ImplStatus]="Implemented")+(Recommendations[ImplStatus]="Compensated"))*ISNUMBER(MATCH(Recommendations[Id],H27:AU27,0)))/COUNTIF(H27:AU27,"&lt;&gt;"))</f>
        <v>0</v>
      </c>
      <c r="H27" s="113" t="s">
        <v>217</v>
      </c>
      <c r="I27" s="113" t="s">
        <v>222</v>
      </c>
      <c r="J27" s="113" t="s">
        <v>227</v>
      </c>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1427</v>
      </c>
      <c r="B28" s="109" t="s">
        <v>1428</v>
      </c>
      <c r="C28" s="110" t="s">
        <v>1429</v>
      </c>
      <c r="D28" s="110" t="s">
        <v>21</v>
      </c>
      <c r="E28" s="110" t="s">
        <v>21</v>
      </c>
      <c r="F28" s="111" t="s">
        <v>1430</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1431</v>
      </c>
      <c r="B29" s="109" t="s">
        <v>1432</v>
      </c>
      <c r="C29" s="110" t="s">
        <v>1433</v>
      </c>
      <c r="D29" s="110" t="s">
        <v>1434</v>
      </c>
      <c r="E29" s="110" t="s">
        <v>1435</v>
      </c>
      <c r="F29" s="111" t="s">
        <v>1436</v>
      </c>
      <c r="G29" s="112">
        <f>IF(COUNTIF(H29:AU29,"&lt;&gt;")=0,"",SUMPRODUCT(((Recommendations[ImplStatus]="Implemented")+(Recommendations[ImplStatus]="Compensated"))*ISNUMBER(MATCH(Recommendations[Id],H29:AU29,0)))/COUNTIF(H29:AU29,"&lt;&gt;"))</f>
        <v>0</v>
      </c>
      <c r="H29" s="113" t="s">
        <v>61</v>
      </c>
      <c r="I29" s="113" t="s">
        <v>66</v>
      </c>
      <c r="J29" s="113" t="s">
        <v>71</v>
      </c>
      <c r="K29" s="113" t="s">
        <v>76</v>
      </c>
      <c r="L29" s="113" t="s">
        <v>80</v>
      </c>
      <c r="M29" s="113" t="s">
        <v>84</v>
      </c>
      <c r="N29" s="113" t="s">
        <v>212</v>
      </c>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1437</v>
      </c>
      <c r="B30" s="109" t="s">
        <v>1438</v>
      </c>
      <c r="C30" s="110" t="s">
        <v>1439</v>
      </c>
      <c r="D30" s="110" t="s">
        <v>1440</v>
      </c>
      <c r="E30" s="110" t="s">
        <v>21</v>
      </c>
      <c r="F30" s="111" t="s">
        <v>1441</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1442</v>
      </c>
      <c r="B31" s="109" t="s">
        <v>1443</v>
      </c>
      <c r="C31" s="110" t="s">
        <v>1444</v>
      </c>
      <c r="D31" s="110" t="s">
        <v>1445</v>
      </c>
      <c r="E31" s="110" t="s">
        <v>1446</v>
      </c>
      <c r="F31" s="111" t="s">
        <v>1447</v>
      </c>
      <c r="G31" s="112">
        <f>IF(COUNTIF(H31:AU31,"&lt;&gt;")=0,"",SUMPRODUCT(((Recommendations[ImplStatus]="Implemented")+(Recommendations[ImplStatus]="Compensated"))*ISNUMBER(MATCH(Recommendations[Id],H31:AU31,0)))/COUNTIF(H31:AU31,"&lt;&gt;"))</f>
        <v>0</v>
      </c>
      <c r="H31" s="113" t="s">
        <v>25</v>
      </c>
      <c r="I31" s="113" t="s">
        <v>51</v>
      </c>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1448</v>
      </c>
      <c r="B32" s="109" t="s">
        <v>1449</v>
      </c>
      <c r="C32" s="110" t="s">
        <v>1450</v>
      </c>
      <c r="D32" s="110" t="s">
        <v>1451</v>
      </c>
      <c r="E32" s="110" t="s">
        <v>1452</v>
      </c>
      <c r="F32" s="111" t="s">
        <v>1453</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1454</v>
      </c>
      <c r="B33" s="109" t="s">
        <v>1455</v>
      </c>
      <c r="C33" s="110" t="s">
        <v>1456</v>
      </c>
      <c r="D33" s="110" t="s">
        <v>1457</v>
      </c>
      <c r="E33" s="110" t="s">
        <v>21</v>
      </c>
      <c r="F33" s="111" t="s">
        <v>1458</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1459</v>
      </c>
      <c r="B34" s="109" t="s">
        <v>1460</v>
      </c>
      <c r="C34" s="110" t="s">
        <v>1461</v>
      </c>
      <c r="D34" s="110" t="s">
        <v>1462</v>
      </c>
      <c r="E34" s="110" t="s">
        <v>21</v>
      </c>
      <c r="F34" s="111" t="s">
        <v>1463</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1464</v>
      </c>
      <c r="B35" s="109" t="s">
        <v>1465</v>
      </c>
      <c r="C35" s="110" t="s">
        <v>1466</v>
      </c>
      <c r="D35" s="110" t="s">
        <v>1467</v>
      </c>
      <c r="E35" s="110" t="s">
        <v>1468</v>
      </c>
      <c r="F35" s="111" t="s">
        <v>1469</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1470</v>
      </c>
      <c r="B36" s="109" t="s">
        <v>1471</v>
      </c>
      <c r="C36" s="110" t="s">
        <v>1472</v>
      </c>
      <c r="D36" s="110" t="s">
        <v>1473</v>
      </c>
      <c r="E36" s="110" t="s">
        <v>1474</v>
      </c>
      <c r="F36" s="111" t="s">
        <v>1475</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1476</v>
      </c>
      <c r="B37" s="109" t="s">
        <v>1477</v>
      </c>
      <c r="C37" s="110" t="s">
        <v>1478</v>
      </c>
      <c r="D37" s="110" t="s">
        <v>1479</v>
      </c>
      <c r="E37" s="110" t="s">
        <v>21</v>
      </c>
      <c r="F37" s="111" t="s">
        <v>1480</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1481</v>
      </c>
      <c r="B38" s="109" t="s">
        <v>1482</v>
      </c>
      <c r="C38" s="110" t="s">
        <v>1483</v>
      </c>
      <c r="D38" s="110" t="s">
        <v>1484</v>
      </c>
      <c r="E38" s="110" t="s">
        <v>1485</v>
      </c>
      <c r="F38" s="111" t="s">
        <v>1486</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1487</v>
      </c>
      <c r="B39" s="109" t="s">
        <v>1488</v>
      </c>
      <c r="C39" s="110" t="s">
        <v>1489</v>
      </c>
      <c r="D39" s="110" t="s">
        <v>1490</v>
      </c>
      <c r="E39" s="110" t="s">
        <v>21</v>
      </c>
      <c r="F39" s="111" t="s">
        <v>1491</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1492</v>
      </c>
      <c r="B40" s="109" t="s">
        <v>1493</v>
      </c>
      <c r="C40" s="110" t="s">
        <v>1494</v>
      </c>
      <c r="D40" s="110" t="s">
        <v>1495</v>
      </c>
      <c r="E40" s="110" t="s">
        <v>1496</v>
      </c>
      <c r="F40" s="111" t="s">
        <v>1497</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1498</v>
      </c>
      <c r="B41" s="109" t="s">
        <v>1499</v>
      </c>
      <c r="C41" s="110" t="s">
        <v>1500</v>
      </c>
      <c r="D41" s="110" t="s">
        <v>1501</v>
      </c>
      <c r="E41" s="110" t="s">
        <v>1502</v>
      </c>
      <c r="F41" s="111" t="s">
        <v>1503</v>
      </c>
      <c r="G41" s="112">
        <f>IF(COUNTIF(H41:AU41,"&lt;&gt;")=0,"",SUMPRODUCT(((Recommendations[ImplStatus]="Implemented")+(Recommendations[ImplStatus]="Compensated"))*ISNUMBER(MATCH(Recommendations[Id],H41:AU41,0)))/COUNTIF(H41:AU41,"&lt;&gt;"))</f>
        <v>0</v>
      </c>
      <c r="H41" s="113" t="s">
        <v>130</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1504</v>
      </c>
      <c r="B42" s="109" t="s">
        <v>1505</v>
      </c>
      <c r="C42" s="110" t="s">
        <v>1506</v>
      </c>
      <c r="D42" s="110" t="s">
        <v>1507</v>
      </c>
      <c r="E42" s="110" t="s">
        <v>1508</v>
      </c>
      <c r="F42" s="111" t="s">
        <v>1509</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1510</v>
      </c>
      <c r="B43" s="109" t="s">
        <v>1511</v>
      </c>
      <c r="C43" s="110" t="s">
        <v>1512</v>
      </c>
      <c r="D43" s="110" t="s">
        <v>1513</v>
      </c>
      <c r="E43" s="110" t="s">
        <v>1514</v>
      </c>
      <c r="F43" s="111" t="s">
        <v>1515</v>
      </c>
      <c r="G43" s="112">
        <f>IF(COUNTIF(H43:AU43,"&lt;&gt;")=0,"",SUMPRODUCT(((Recommendations[ImplStatus]="Implemented")+(Recommendations[ImplStatus]="Compensated"))*ISNUMBER(MATCH(Recommendations[Id],H43:AU43,0)))/COUNTIF(H43:AU43,"&lt;&gt;"))</f>
        <v>0</v>
      </c>
      <c r="H43" s="113" t="s">
        <v>25</v>
      </c>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1516</v>
      </c>
      <c r="B44" s="109" t="s">
        <v>1517</v>
      </c>
      <c r="C44" s="110" t="s">
        <v>1518</v>
      </c>
      <c r="D44" s="110" t="s">
        <v>1519</v>
      </c>
      <c r="E44" s="110" t="s">
        <v>21</v>
      </c>
      <c r="F44" s="111" t="s">
        <v>1520</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1521</v>
      </c>
      <c r="B45" s="114" t="s">
        <v>1522</v>
      </c>
      <c r="C45" s="115" t="s">
        <v>1523</v>
      </c>
      <c r="D45" s="115" t="s">
        <v>1524</v>
      </c>
      <c r="E45" s="115" t="s">
        <v>1525</v>
      </c>
      <c r="F45" s="116" t="s">
        <v>1526</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334</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IFERROR(INDEX('Recommendations'!$H$2:$H$64, MATCH(H2,'Recommendations'!$A$2:$A$64,0))="Implemented", FALSE))</xm:f>
            <x14:dxf>
              <font>
                <color rgb="FF000000"/>
              </font>
              <fill>
                <patternFill>
                  <bgColor rgb="FF3C7D22"/>
                </patternFill>
              </fill>
            </x14:dxf>
          </x14:cfRule>
          <x14:cfRule type="expression" priority="2" id="{00000000-000E-0000-0500-000002000000}">
            <xm:f>AND(H2&lt;&gt;"", IFERROR(INDEX('Recommendations'!$H$2:$H$64, MATCH(H2,'Recommendations'!$A$2:$A$64,0))="Compensated", FALSE))</xm:f>
            <x14:dxf>
              <font>
                <color rgb="FF000000"/>
              </font>
              <fill>
                <patternFill>
                  <bgColor rgb="FFC6E0B4"/>
                </patternFill>
              </fill>
            </x14:dxf>
          </x14:cfRule>
          <x14:cfRule type="expression" priority="3" id="{00000000-000E-0000-0500-000003000000}">
            <xm:f>AND(H2&lt;&gt;"", IFERROR(INDEX('Recommendations'!$H$2:$H$64, MATCH(H2,'Recommendations'!$A$2:$A$64,0))="Testing", FALSE))</xm:f>
            <x14:dxf>
              <font>
                <color rgb="FF000000"/>
              </font>
              <fill>
                <patternFill>
                  <bgColor rgb="FFFFC000"/>
                </patternFill>
              </fill>
            </x14:dxf>
          </x14:cfRule>
          <x14:cfRule type="expression" priority="4" id="{00000000-000E-0000-0500-000004000000}">
            <xm:f>AND(H2&lt;&gt;"", IFERROR(INDEX('Recommendations'!$H$2:$H$64, MATCH(H2,'Recommendations'!$A$2:$A$64,0))="Failed", FALSE))</xm:f>
            <x14:dxf>
              <font>
                <color rgb="FF000000"/>
              </font>
              <fill>
                <patternFill>
                  <bgColor rgb="FFD82891"/>
                </patternFill>
              </fill>
            </x14:dxf>
          </x14:cfRule>
          <x14:cfRule type="expression" priority="5" id="{00000000-000E-0000-0500-000005000000}">
            <xm:f>AND(H2&lt;&gt;"", IFERROR(INDEX('Recommendations'!$H$2:$H$64, MATCH(H2,'Recommendations'!$A$2:$A$64,0))="Risk Accepted", FALSE))</xm:f>
            <x14:dxf>
              <font>
                <color rgb="FF000000"/>
              </font>
              <fill>
                <patternFill>
                  <bgColor rgb="FFD9D9D9"/>
                </patternFill>
              </fill>
            </x14:dxf>
          </x14:cfRule>
          <x14:cfRule type="expression" priority="6" id="{00000000-000E-0000-0500-000006000000}">
            <xm:f>AND(H2&lt;&gt;"", IFERROR(INDEX('Recommendations'!$H$2:$H$64, MATCH(H2,'Recommendations'!$A$2:$A$64,0))="N/A",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1527</v>
      </c>
      <c r="B1" s="148" t="s">
        <v>581</v>
      </c>
      <c r="C1" s="148" t="s">
        <v>0</v>
      </c>
      <c r="D1" s="148" t="s">
        <v>582</v>
      </c>
      <c r="E1" s="148" t="s">
        <v>1528</v>
      </c>
      <c r="F1" s="148" t="s">
        <v>1529</v>
      </c>
      <c r="G1" s="148" t="s">
        <v>1530</v>
      </c>
      <c r="H1" s="148" t="s">
        <v>1531</v>
      </c>
      <c r="I1" s="148" t="s">
        <v>587</v>
      </c>
      <c r="J1" s="148" t="s">
        <v>588</v>
      </c>
      <c r="K1" s="148" t="s">
        <v>589</v>
      </c>
      <c r="L1" s="148" t="s">
        <v>590</v>
      </c>
      <c r="M1" s="148" t="s">
        <v>591</v>
      </c>
      <c r="N1" s="148" t="s">
        <v>592</v>
      </c>
      <c r="O1" s="148" t="s">
        <v>593</v>
      </c>
      <c r="P1" s="148" t="s">
        <v>594</v>
      </c>
      <c r="Q1" s="148" t="s">
        <v>595</v>
      </c>
      <c r="R1" s="148" t="s">
        <v>596</v>
      </c>
      <c r="S1" s="148" t="s">
        <v>597</v>
      </c>
      <c r="T1" s="148" t="s">
        <v>598</v>
      </c>
      <c r="U1" s="148" t="s">
        <v>599</v>
      </c>
      <c r="V1" s="148" t="s">
        <v>600</v>
      </c>
      <c r="W1" s="148" t="s">
        <v>601</v>
      </c>
      <c r="X1" s="148" t="s">
        <v>602</v>
      </c>
      <c r="Y1" s="148" t="s">
        <v>603</v>
      </c>
      <c r="Z1" s="148" t="s">
        <v>604</v>
      </c>
      <c r="AA1" s="148" t="s">
        <v>605</v>
      </c>
      <c r="AB1" s="148" t="s">
        <v>606</v>
      </c>
      <c r="AC1" s="148" t="s">
        <v>607</v>
      </c>
      <c r="AD1" s="148" t="s">
        <v>608</v>
      </c>
      <c r="AE1" s="148" t="s">
        <v>609</v>
      </c>
      <c r="AF1" s="148" t="s">
        <v>610</v>
      </c>
      <c r="AG1" s="148" t="s">
        <v>611</v>
      </c>
      <c r="AH1" s="148" t="s">
        <v>612</v>
      </c>
      <c r="AI1" s="148" t="s">
        <v>613</v>
      </c>
      <c r="AJ1" s="148" t="s">
        <v>614</v>
      </c>
      <c r="AK1" s="148" t="s">
        <v>615</v>
      </c>
      <c r="AL1" s="148" t="s">
        <v>616</v>
      </c>
      <c r="AM1" s="148" t="s">
        <v>617</v>
      </c>
      <c r="AN1" s="148" t="s">
        <v>618</v>
      </c>
      <c r="AO1" s="148" t="s">
        <v>619</v>
      </c>
      <c r="AP1" s="148" t="s">
        <v>620</v>
      </c>
      <c r="AQ1" s="148" t="s">
        <v>621</v>
      </c>
      <c r="AR1" s="148" t="s">
        <v>622</v>
      </c>
      <c r="AS1" s="148" t="s">
        <v>623</v>
      </c>
      <c r="AT1" s="148" t="s">
        <v>624</v>
      </c>
      <c r="AU1" s="148" t="s">
        <v>625</v>
      </c>
      <c r="AV1" s="148" t="s">
        <v>626</v>
      </c>
      <c r="AW1" s="149" t="s">
        <v>627</v>
      </c>
    </row>
    <row r="2" spans="1:49" ht="60" customHeight="1" outlineLevel="1" x14ac:dyDescent="0.35">
      <c r="A2" s="141" t="s">
        <v>1532</v>
      </c>
      <c r="B2" s="127"/>
      <c r="C2" s="126" t="s">
        <v>1533</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1532</v>
      </c>
      <c r="B3" s="128" t="s">
        <v>798</v>
      </c>
      <c r="C3" s="129" t="s">
        <v>1534</v>
      </c>
      <c r="D3" s="131" t="s">
        <v>1535</v>
      </c>
      <c r="E3" s="131" t="s">
        <v>1536</v>
      </c>
      <c r="F3" s="131" t="s">
        <v>1537</v>
      </c>
      <c r="G3" s="131" t="s">
        <v>1538</v>
      </c>
      <c r="H3" s="131" t="s">
        <v>1539</v>
      </c>
      <c r="I3" s="133">
        <f>IF(COUNTIF(J3:AW3,"&lt;&gt;")=0,"",SUMPRODUCT(((Recommendations[ImplStatus]="Implemented")+(Recommendations[ImplStatus]="Compensated"))*ISNUMBER(MATCH(Recommendations[Id],J3:AW3,0)))/COUNTIF(J3:AW3,"&lt;&gt;"))</f>
        <v>0</v>
      </c>
      <c r="J3" s="135" t="s">
        <v>25</v>
      </c>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1532</v>
      </c>
      <c r="B4" s="128" t="s">
        <v>1540</v>
      </c>
      <c r="C4" s="129" t="s">
        <v>1541</v>
      </c>
      <c r="D4" s="131" t="s">
        <v>1542</v>
      </c>
      <c r="E4" s="131" t="s">
        <v>1543</v>
      </c>
      <c r="F4" s="131" t="s">
        <v>1544</v>
      </c>
      <c r="G4" s="131" t="s">
        <v>1545</v>
      </c>
      <c r="H4" s="131" t="s">
        <v>1546</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1532</v>
      </c>
      <c r="B5" s="128" t="s">
        <v>1547</v>
      </c>
      <c r="C5" s="129" t="s">
        <v>1548</v>
      </c>
      <c r="D5" s="131" t="s">
        <v>1549</v>
      </c>
      <c r="E5" s="131" t="s">
        <v>1550</v>
      </c>
      <c r="F5" s="131" t="s">
        <v>1551</v>
      </c>
      <c r="G5" s="131" t="s">
        <v>1552</v>
      </c>
      <c r="H5" s="131" t="s">
        <v>1553</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1532</v>
      </c>
      <c r="B6" s="128" t="s">
        <v>1554</v>
      </c>
      <c r="C6" s="129" t="s">
        <v>1555</v>
      </c>
      <c r="D6" s="131" t="s">
        <v>1556</v>
      </c>
      <c r="E6" s="131" t="s">
        <v>1557</v>
      </c>
      <c r="F6" s="131" t="s">
        <v>1558</v>
      </c>
      <c r="G6" s="131" t="s">
        <v>1559</v>
      </c>
      <c r="H6" s="131" t="s">
        <v>1560</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1532</v>
      </c>
      <c r="B7" s="128" t="s">
        <v>1561</v>
      </c>
      <c r="C7" s="129" t="s">
        <v>1562</v>
      </c>
      <c r="D7" s="131" t="s">
        <v>1563</v>
      </c>
      <c r="E7" s="131" t="s">
        <v>1564</v>
      </c>
      <c r="F7" s="131" t="s">
        <v>1565</v>
      </c>
      <c r="G7" s="131" t="s">
        <v>1566</v>
      </c>
      <c r="H7" s="131" t="s">
        <v>1567</v>
      </c>
      <c r="I7" s="133">
        <f>IF(COUNTIF(J7:AW7,"&lt;&gt;")=0,"",SUMPRODUCT(((Recommendations[ImplStatus]="Implemented")+(Recommendations[ImplStatus]="Compensated"))*ISNUMBER(MATCH(Recommendations[Id],J7:AW7,0)))/COUNTIF(J7:AW7,"&lt;&gt;"))</f>
        <v>0</v>
      </c>
      <c r="J7" s="135" t="s">
        <v>25</v>
      </c>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1532</v>
      </c>
      <c r="B8" s="128" t="s">
        <v>1568</v>
      </c>
      <c r="C8" s="129" t="s">
        <v>1569</v>
      </c>
      <c r="D8" s="131" t="s">
        <v>1570</v>
      </c>
      <c r="E8" s="131" t="s">
        <v>1571</v>
      </c>
      <c r="F8" s="131" t="s">
        <v>1572</v>
      </c>
      <c r="G8" s="131" t="s">
        <v>1566</v>
      </c>
      <c r="H8" s="131" t="s">
        <v>1573</v>
      </c>
      <c r="I8" s="133">
        <f>IF(COUNTIF(J8:AW8,"&lt;&gt;")=0,"",SUMPRODUCT(((Recommendations[ImplStatus]="Implemented")+(Recommendations[ImplStatus]="Compensated"))*ISNUMBER(MATCH(Recommendations[Id],J8:AW8,0)))/COUNTIF(J8:AW8,"&lt;&gt;"))</f>
        <v>0</v>
      </c>
      <c r="J8" s="135" t="s">
        <v>51</v>
      </c>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1532</v>
      </c>
      <c r="B9" s="128" t="s">
        <v>1574</v>
      </c>
      <c r="C9" s="129" t="s">
        <v>1575</v>
      </c>
      <c r="D9" s="131" t="s">
        <v>1576</v>
      </c>
      <c r="E9" s="131" t="s">
        <v>1577</v>
      </c>
      <c r="F9" s="131" t="s">
        <v>1578</v>
      </c>
      <c r="G9" s="131" t="s">
        <v>1579</v>
      </c>
      <c r="H9" s="131" t="s">
        <v>1580</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1532</v>
      </c>
      <c r="B10" s="128" t="s">
        <v>1581</v>
      </c>
      <c r="C10" s="129" t="s">
        <v>1582</v>
      </c>
      <c r="D10" s="131" t="s">
        <v>1583</v>
      </c>
      <c r="E10" s="131" t="s">
        <v>1584</v>
      </c>
      <c r="F10" s="131" t="s">
        <v>1585</v>
      </c>
      <c r="G10" s="131" t="s">
        <v>1586</v>
      </c>
      <c r="H10" s="131" t="s">
        <v>1587</v>
      </c>
      <c r="I10" s="133">
        <f>IF(COUNTIF(J10:AW10,"&lt;&gt;")=0,"",SUMPRODUCT(((Recommendations[ImplStatus]="Implemented")+(Recommendations[ImplStatus]="Compensated"))*ISNUMBER(MATCH(Recommendations[Id],J10:AW10,0)))/COUNTIF(J10:AW10,"&lt;&gt;"))</f>
        <v>0</v>
      </c>
      <c r="J10" s="135" t="s">
        <v>31</v>
      </c>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1532</v>
      </c>
      <c r="B11" s="128" t="s">
        <v>1588</v>
      </c>
      <c r="C11" s="129" t="s">
        <v>1589</v>
      </c>
      <c r="D11" s="131" t="s">
        <v>1590</v>
      </c>
      <c r="E11" s="131" t="s">
        <v>1591</v>
      </c>
      <c r="F11" s="131" t="s">
        <v>1592</v>
      </c>
      <c r="G11" s="131" t="s">
        <v>1593</v>
      </c>
      <c r="H11" s="131" t="s">
        <v>1594</v>
      </c>
      <c r="I11" s="133">
        <f>IF(COUNTIF(J11:AW11,"&lt;&gt;")=0,"",SUMPRODUCT(((Recommendations[ImplStatus]="Implemented")+(Recommendations[ImplStatus]="Compensated"))*ISNUMBER(MATCH(Recommendations[Id],J11:AW11,0)))/COUNTIF(J11:AW11,"&lt;&gt;"))</f>
        <v>0</v>
      </c>
      <c r="J11" s="135" t="s">
        <v>36</v>
      </c>
      <c r="K11" s="135" t="s">
        <v>41</v>
      </c>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1532</v>
      </c>
      <c r="B12" s="128" t="s">
        <v>1595</v>
      </c>
      <c r="C12" s="129" t="s">
        <v>1596</v>
      </c>
      <c r="D12" s="131" t="s">
        <v>1597</v>
      </c>
      <c r="E12" s="131" t="s">
        <v>1598</v>
      </c>
      <c r="F12" s="131" t="s">
        <v>1599</v>
      </c>
      <c r="G12" s="131" t="s">
        <v>1586</v>
      </c>
      <c r="H12" s="131" t="s">
        <v>1600</v>
      </c>
      <c r="I12" s="133">
        <f>IF(COUNTIF(J12:AW12,"&lt;&gt;")=0,"",SUMPRODUCT(((Recommendations[ImplStatus]="Implemented")+(Recommendations[ImplStatus]="Compensated"))*ISNUMBER(MATCH(Recommendations[Id],J12:AW12,0)))/COUNTIF(J12:AW12,"&lt;&gt;"))</f>
        <v>0</v>
      </c>
      <c r="J12" s="135" t="s">
        <v>89</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1532</v>
      </c>
      <c r="B13" s="128" t="s">
        <v>1601</v>
      </c>
      <c r="C13" s="129" t="s">
        <v>1602</v>
      </c>
      <c r="D13" s="131" t="s">
        <v>1603</v>
      </c>
      <c r="E13" s="131" t="s">
        <v>1604</v>
      </c>
      <c r="F13" s="131" t="s">
        <v>1605</v>
      </c>
      <c r="G13" s="131" t="s">
        <v>1586</v>
      </c>
      <c r="H13" s="131" t="s">
        <v>1606</v>
      </c>
      <c r="I13" s="133">
        <f>IF(COUNTIF(J13:AW13,"&lt;&gt;")=0,"",SUMPRODUCT(((Recommendations[ImplStatus]="Implemented")+(Recommendations[ImplStatus]="Compensated"))*ISNUMBER(MATCH(Recommendations[Id],J13:AW13,0)))/COUNTIF(J13:AW13,"&lt;&gt;"))</f>
        <v>0</v>
      </c>
      <c r="J13" s="135" t="s">
        <v>89</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1532</v>
      </c>
      <c r="B14" s="128" t="s">
        <v>1607</v>
      </c>
      <c r="C14" s="129" t="s">
        <v>1608</v>
      </c>
      <c r="D14" s="131" t="s">
        <v>1609</v>
      </c>
      <c r="E14" s="131" t="s">
        <v>1610</v>
      </c>
      <c r="F14" s="131" t="s">
        <v>1611</v>
      </c>
      <c r="G14" s="131" t="s">
        <v>1612</v>
      </c>
      <c r="H14" s="131" t="s">
        <v>1613</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1532</v>
      </c>
      <c r="B15" s="128" t="s">
        <v>1614</v>
      </c>
      <c r="C15" s="129" t="s">
        <v>1615</v>
      </c>
      <c r="D15" s="131" t="s">
        <v>1616</v>
      </c>
      <c r="E15" s="131" t="s">
        <v>1617</v>
      </c>
      <c r="F15" s="131" t="s">
        <v>1618</v>
      </c>
      <c r="G15" s="131" t="s">
        <v>1619</v>
      </c>
      <c r="H15" s="131" t="s">
        <v>1620</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1532</v>
      </c>
      <c r="B16" s="128" t="s">
        <v>1621</v>
      </c>
      <c r="C16" s="129" t="s">
        <v>1622</v>
      </c>
      <c r="D16" s="131" t="s">
        <v>1623</v>
      </c>
      <c r="E16" s="131" t="s">
        <v>1624</v>
      </c>
      <c r="F16" s="131" t="s">
        <v>1625</v>
      </c>
      <c r="G16" s="131" t="s">
        <v>1626</v>
      </c>
      <c r="H16" s="131" t="s">
        <v>1627</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1532</v>
      </c>
      <c r="B17" s="128" t="s">
        <v>1628</v>
      </c>
      <c r="C17" s="129" t="s">
        <v>1629</v>
      </c>
      <c r="D17" s="131" t="s">
        <v>1630</v>
      </c>
      <c r="E17" s="131" t="s">
        <v>1631</v>
      </c>
      <c r="F17" s="131" t="s">
        <v>1632</v>
      </c>
      <c r="G17" s="131" t="s">
        <v>1633</v>
      </c>
      <c r="H17" s="131" t="s">
        <v>1634</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1532</v>
      </c>
      <c r="B18" s="128" t="s">
        <v>1635</v>
      </c>
      <c r="C18" s="129" t="s">
        <v>1636</v>
      </c>
      <c r="D18" s="131" t="s">
        <v>1637</v>
      </c>
      <c r="E18" s="131" t="s">
        <v>1638</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1639</v>
      </c>
      <c r="B19" s="127"/>
      <c r="C19" s="126" t="s">
        <v>1640</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1639</v>
      </c>
      <c r="B20" s="128" t="s">
        <v>1641</v>
      </c>
      <c r="C20" s="129" t="s">
        <v>1642</v>
      </c>
      <c r="D20" s="131" t="s">
        <v>1643</v>
      </c>
      <c r="E20" s="131" t="s">
        <v>1644</v>
      </c>
      <c r="F20" s="131" t="s">
        <v>1645</v>
      </c>
      <c r="G20" s="131" t="s">
        <v>1646</v>
      </c>
      <c r="H20" s="131" t="s">
        <v>1647</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1639</v>
      </c>
      <c r="B21" s="128" t="s">
        <v>1648</v>
      </c>
      <c r="C21" s="129" t="s">
        <v>1649</v>
      </c>
      <c r="D21" s="131" t="s">
        <v>1650</v>
      </c>
      <c r="E21" s="131" t="s">
        <v>1651</v>
      </c>
      <c r="F21" s="131" t="s">
        <v>1652</v>
      </c>
      <c r="G21" s="131" t="s">
        <v>1653</v>
      </c>
      <c r="H21" s="131" t="s">
        <v>1654</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1655</v>
      </c>
      <c r="B22" s="127"/>
      <c r="C22" s="126" t="s">
        <v>1656</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1655</v>
      </c>
      <c r="B23" s="128" t="s">
        <v>1657</v>
      </c>
      <c r="C23" s="129" t="s">
        <v>1658</v>
      </c>
      <c r="D23" s="131" t="s">
        <v>1659</v>
      </c>
      <c r="E23" s="131" t="s">
        <v>1660</v>
      </c>
      <c r="F23" s="131" t="s">
        <v>1661</v>
      </c>
      <c r="G23" s="131" t="s">
        <v>1662</v>
      </c>
      <c r="H23" s="131" t="s">
        <v>1663</v>
      </c>
      <c r="I23" s="133">
        <f>IF(COUNTIF(J23:AW23,"&lt;&gt;")=0,"",SUMPRODUCT(((Recommendations[ImplStatus]="Implemented")+(Recommendations[ImplStatus]="Compensated"))*ISNUMBER(MATCH(Recommendations[Id],J23:AW23,0)))/COUNTIF(J23:AW23,"&lt;&gt;"))</f>
        <v>0</v>
      </c>
      <c r="J23" s="135" t="s">
        <v>14</v>
      </c>
      <c r="K23" s="135" t="s">
        <v>109</v>
      </c>
      <c r="L23" s="135" t="s">
        <v>160</v>
      </c>
      <c r="M23" s="135" t="s">
        <v>176</v>
      </c>
      <c r="N23" s="135" t="s">
        <v>260</v>
      </c>
      <c r="O23" s="135" t="s">
        <v>275</v>
      </c>
      <c r="P23" s="135" t="s">
        <v>303</v>
      </c>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1655</v>
      </c>
      <c r="B24" s="128" t="s">
        <v>1664</v>
      </c>
      <c r="C24" s="129" t="s">
        <v>1665</v>
      </c>
      <c r="D24" s="131" t="s">
        <v>1666</v>
      </c>
      <c r="E24" s="131" t="s">
        <v>1667</v>
      </c>
      <c r="F24" s="131" t="s">
        <v>1668</v>
      </c>
      <c r="G24" s="131" t="s">
        <v>1669</v>
      </c>
      <c r="H24" s="131" t="s">
        <v>1670</v>
      </c>
      <c r="I24" s="133">
        <f>IF(COUNTIF(J24:AW24,"&lt;&gt;")=0,"",SUMPRODUCT(((Recommendations[ImplStatus]="Implemented")+(Recommendations[ImplStatus]="Compensated"))*ISNUMBER(MATCH(Recommendations[Id],J24:AW24,0)))/COUNTIF(J24:AW24,"&lt;&gt;"))</f>
        <v>0</v>
      </c>
      <c r="J24" s="135" t="s">
        <v>160</v>
      </c>
      <c r="K24" s="135" t="s">
        <v>260</v>
      </c>
      <c r="L24" s="135" t="s">
        <v>303</v>
      </c>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1655</v>
      </c>
      <c r="B25" s="128" t="s">
        <v>1671</v>
      </c>
      <c r="C25" s="129" t="s">
        <v>1672</v>
      </c>
      <c r="D25" s="131" t="s">
        <v>1673</v>
      </c>
      <c r="E25" s="131" t="s">
        <v>1674</v>
      </c>
      <c r="F25" s="131" t="s">
        <v>1675</v>
      </c>
      <c r="G25" s="131" t="s">
        <v>1676</v>
      </c>
      <c r="H25" s="131" t="s">
        <v>1677</v>
      </c>
      <c r="I25" s="133">
        <f>IF(COUNTIF(J25:AW25,"&lt;&gt;")=0,"",SUMPRODUCT(((Recommendations[ImplStatus]="Implemented")+(Recommendations[ImplStatus]="Compensated"))*ISNUMBER(MATCH(Recommendations[Id],J25:AW25,0)))/COUNTIF(J25:AW25,"&lt;&gt;"))</f>
        <v>0</v>
      </c>
      <c r="J25" s="135" t="s">
        <v>14</v>
      </c>
      <c r="K25" s="135" t="s">
        <v>109</v>
      </c>
      <c r="L25" s="135" t="s">
        <v>176</v>
      </c>
      <c r="M25" s="135" t="s">
        <v>275</v>
      </c>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1655</v>
      </c>
      <c r="B26" s="128" t="s">
        <v>1678</v>
      </c>
      <c r="C26" s="129" t="s">
        <v>1679</v>
      </c>
      <c r="D26" s="131" t="s">
        <v>1680</v>
      </c>
      <c r="E26" s="131" t="s">
        <v>1681</v>
      </c>
      <c r="F26" s="131" t="s">
        <v>1682</v>
      </c>
      <c r="G26" s="131" t="s">
        <v>1669</v>
      </c>
      <c r="H26" s="131" t="s">
        <v>1683</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1655</v>
      </c>
      <c r="B27" s="128" t="s">
        <v>1684</v>
      </c>
      <c r="C27" s="129" t="s">
        <v>1685</v>
      </c>
      <c r="D27" s="131" t="s">
        <v>1686</v>
      </c>
      <c r="E27" s="131" t="s">
        <v>1687</v>
      </c>
      <c r="F27" s="131" t="s">
        <v>1688</v>
      </c>
      <c r="G27" s="131" t="s">
        <v>1689</v>
      </c>
      <c r="H27" s="131" t="s">
        <v>1690</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1655</v>
      </c>
      <c r="B28" s="128" t="s">
        <v>1691</v>
      </c>
      <c r="C28" s="129" t="s">
        <v>1692</v>
      </c>
      <c r="D28" s="131" t="s">
        <v>1693</v>
      </c>
      <c r="E28" s="131" t="s">
        <v>1694</v>
      </c>
      <c r="F28" s="131" t="s">
        <v>1695</v>
      </c>
      <c r="G28" s="131" t="s">
        <v>1696</v>
      </c>
      <c r="H28" s="131" t="s">
        <v>1697</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1655</v>
      </c>
      <c r="B29" s="128" t="s">
        <v>1698</v>
      </c>
      <c r="C29" s="129" t="s">
        <v>1699</v>
      </c>
      <c r="D29" s="131" t="s">
        <v>1700</v>
      </c>
      <c r="E29" s="131" t="s">
        <v>1701</v>
      </c>
      <c r="F29" s="131" t="s">
        <v>1702</v>
      </c>
      <c r="G29" s="131" t="s">
        <v>1586</v>
      </c>
      <c r="H29" s="131" t="s">
        <v>1703</v>
      </c>
      <c r="I29" s="133">
        <f>IF(COUNTIF(J29:AW29,"&lt;&gt;")=0,"",SUMPRODUCT(((Recommendations[ImplStatus]="Implemented")+(Recommendations[ImplStatus]="Compensated"))*ISNUMBER(MATCH(Recommendations[Id],J29:AW29,0)))/COUNTIF(J29:AW29,"&lt;&gt;"))</f>
        <v>0</v>
      </c>
      <c r="J29" s="135" t="s">
        <v>94</v>
      </c>
      <c r="K29" s="135" t="s">
        <v>99</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1655</v>
      </c>
      <c r="B30" s="128" t="s">
        <v>1704</v>
      </c>
      <c r="C30" s="129" t="s">
        <v>1705</v>
      </c>
      <c r="D30" s="131" t="s">
        <v>1706</v>
      </c>
      <c r="E30" s="131" t="s">
        <v>1707</v>
      </c>
      <c r="F30" s="131" t="s">
        <v>1708</v>
      </c>
      <c r="G30" s="131" t="s">
        <v>1669</v>
      </c>
      <c r="H30" s="131" t="s">
        <v>1709</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1710</v>
      </c>
      <c r="B31" s="127"/>
      <c r="C31" s="126" t="s">
        <v>1711</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1710</v>
      </c>
      <c r="B32" s="128" t="s">
        <v>1712</v>
      </c>
      <c r="C32" s="129" t="s">
        <v>1713</v>
      </c>
      <c r="D32" s="131" t="s">
        <v>1714</v>
      </c>
      <c r="E32" s="131" t="s">
        <v>1715</v>
      </c>
      <c r="F32" s="131" t="s">
        <v>1716</v>
      </c>
      <c r="G32" s="131" t="s">
        <v>1717</v>
      </c>
      <c r="H32" s="131" t="s">
        <v>1718</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1710</v>
      </c>
      <c r="B33" s="128" t="s">
        <v>1719</v>
      </c>
      <c r="C33" s="129" t="s">
        <v>1720</v>
      </c>
      <c r="D33" s="131" t="s">
        <v>1721</v>
      </c>
      <c r="E33" s="131" t="s">
        <v>1722</v>
      </c>
      <c r="F33" s="131" t="s">
        <v>1723</v>
      </c>
      <c r="G33" s="131" t="s">
        <v>1724</v>
      </c>
      <c r="H33" s="131" t="s">
        <v>1725</v>
      </c>
      <c r="I33" s="133">
        <f>IF(COUNTIF(J33:AW33,"&lt;&gt;")=0,"",SUMPRODUCT(((Recommendations[ImplStatus]="Implemented")+(Recommendations[ImplStatus]="Compensated"))*ISNUMBER(MATCH(Recommendations[Id],J33:AW33,0)))/COUNTIF(J33:AW33,"&lt;&gt;"))</f>
        <v>0</v>
      </c>
      <c r="J33" s="135" t="s">
        <v>217</v>
      </c>
      <c r="K33" s="135" t="s">
        <v>222</v>
      </c>
      <c r="L33" s="135" t="s">
        <v>227</v>
      </c>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1710</v>
      </c>
      <c r="B34" s="128" t="s">
        <v>1726</v>
      </c>
      <c r="C34" s="129" t="s">
        <v>1727</v>
      </c>
      <c r="D34" s="131" t="s">
        <v>1728</v>
      </c>
      <c r="E34" s="131" t="s">
        <v>1729</v>
      </c>
      <c r="F34" s="131" t="s">
        <v>1730</v>
      </c>
      <c r="G34" s="131" t="s">
        <v>1731</v>
      </c>
      <c r="H34" s="131" t="s">
        <v>1732</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1710</v>
      </c>
      <c r="B35" s="128" t="s">
        <v>1733</v>
      </c>
      <c r="C35" s="129" t="s">
        <v>1734</v>
      </c>
      <c r="D35" s="131" t="s">
        <v>1735</v>
      </c>
      <c r="E35" s="131" t="s">
        <v>1736</v>
      </c>
      <c r="F35" s="131" t="s">
        <v>1737</v>
      </c>
      <c r="G35" s="131" t="s">
        <v>1738</v>
      </c>
      <c r="H35" s="131" t="s">
        <v>1739</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1710</v>
      </c>
      <c r="B36" s="128" t="s">
        <v>1740</v>
      </c>
      <c r="C36" s="129" t="s">
        <v>1741</v>
      </c>
      <c r="D36" s="131" t="s">
        <v>1742</v>
      </c>
      <c r="E36" s="131" t="s">
        <v>1743</v>
      </c>
      <c r="F36" s="131" t="s">
        <v>1744</v>
      </c>
      <c r="G36" s="131" t="s">
        <v>1745</v>
      </c>
      <c r="H36" s="131" t="s">
        <v>1746</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1710</v>
      </c>
      <c r="B37" s="128" t="s">
        <v>1747</v>
      </c>
      <c r="C37" s="129" t="s">
        <v>1748</v>
      </c>
      <c r="D37" s="131" t="s">
        <v>1749</v>
      </c>
      <c r="E37" s="131" t="s">
        <v>1750</v>
      </c>
      <c r="F37" s="131" t="s">
        <v>1751</v>
      </c>
      <c r="G37" s="131" t="s">
        <v>1752</v>
      </c>
      <c r="H37" s="131" t="s">
        <v>1753</v>
      </c>
      <c r="I37" s="133">
        <f>IF(COUNTIF(J37:AW37,"&lt;&gt;")=0,"",SUMPRODUCT(((Recommendations[ImplStatus]="Implemented")+(Recommendations[ImplStatus]="Compensated"))*ISNUMBER(MATCH(Recommendations[Id],J37:AW37,0)))/COUNTIF(J37:AW37,"&lt;&gt;"))</f>
        <v>0</v>
      </c>
      <c r="J37" s="135" t="s">
        <v>114</v>
      </c>
      <c r="K37" s="135" t="s">
        <v>135</v>
      </c>
      <c r="L37" s="135" t="s">
        <v>140</v>
      </c>
      <c r="M37" s="135" t="s">
        <v>181</v>
      </c>
      <c r="N37" s="135" t="s">
        <v>187</v>
      </c>
      <c r="O37" s="135" t="s">
        <v>192</v>
      </c>
      <c r="P37" s="135" t="s">
        <v>237</v>
      </c>
      <c r="Q37" s="135" t="s">
        <v>242</v>
      </c>
      <c r="R37" s="135" t="s">
        <v>247</v>
      </c>
      <c r="S37" s="135" t="s">
        <v>251</v>
      </c>
      <c r="T37" s="135" t="s">
        <v>285</v>
      </c>
      <c r="U37" s="135" t="s">
        <v>290</v>
      </c>
      <c r="V37" s="135" t="s">
        <v>294</v>
      </c>
      <c r="W37" s="135" t="s">
        <v>299</v>
      </c>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1710</v>
      </c>
      <c r="B38" s="128" t="s">
        <v>1754</v>
      </c>
      <c r="C38" s="129" t="s">
        <v>1755</v>
      </c>
      <c r="D38" s="131" t="s">
        <v>1756</v>
      </c>
      <c r="E38" s="131" t="s">
        <v>1757</v>
      </c>
      <c r="F38" s="131" t="s">
        <v>1758</v>
      </c>
      <c r="G38" s="131" t="s">
        <v>1759</v>
      </c>
      <c r="H38" s="131" t="s">
        <v>1760</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1710</v>
      </c>
      <c r="B39" s="128" t="s">
        <v>1761</v>
      </c>
      <c r="C39" s="129" t="s">
        <v>1762</v>
      </c>
      <c r="D39" s="131" t="s">
        <v>1763</v>
      </c>
      <c r="E39" s="131" t="s">
        <v>1764</v>
      </c>
      <c r="F39" s="131" t="s">
        <v>1765</v>
      </c>
      <c r="G39" s="131" t="s">
        <v>1766</v>
      </c>
      <c r="H39" s="131" t="s">
        <v>1767</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1710</v>
      </c>
      <c r="B40" s="128" t="s">
        <v>1768</v>
      </c>
      <c r="C40" s="129" t="s">
        <v>1769</v>
      </c>
      <c r="D40" s="131" t="s">
        <v>1770</v>
      </c>
      <c r="E40" s="131" t="s">
        <v>1771</v>
      </c>
      <c r="F40" s="131" t="s">
        <v>1772</v>
      </c>
      <c r="G40" s="131" t="s">
        <v>1773</v>
      </c>
      <c r="H40" s="131" t="s">
        <v>1774</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1710</v>
      </c>
      <c r="B41" s="128" t="s">
        <v>1775</v>
      </c>
      <c r="C41" s="129" t="s">
        <v>1776</v>
      </c>
      <c r="D41" s="131" t="s">
        <v>1777</v>
      </c>
      <c r="E41" s="131" t="s">
        <v>1778</v>
      </c>
      <c r="F41" s="131" t="s">
        <v>1779</v>
      </c>
      <c r="G41" s="131" t="s">
        <v>1717</v>
      </c>
      <c r="H41" s="131" t="s">
        <v>1780</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1781</v>
      </c>
      <c r="B42" s="127"/>
      <c r="C42" s="126" t="s">
        <v>1782</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1781</v>
      </c>
      <c r="B43" s="128" t="s">
        <v>1783</v>
      </c>
      <c r="C43" s="129" t="s">
        <v>1784</v>
      </c>
      <c r="D43" s="131" t="s">
        <v>1785</v>
      </c>
      <c r="E43" s="131" t="s">
        <v>1786</v>
      </c>
      <c r="F43" s="131" t="s">
        <v>1787</v>
      </c>
      <c r="G43" s="131" t="s">
        <v>1788</v>
      </c>
      <c r="H43" s="131" t="s">
        <v>1789</v>
      </c>
      <c r="I43" s="133">
        <f>IF(COUNTIF(J43:AW43,"&lt;&gt;")=0,"",SUMPRODUCT(((Recommendations[ImplStatus]="Implemented")+(Recommendations[ImplStatus]="Compensated"))*ISNUMBER(MATCH(Recommendations[Id],J43:AW43,0)))/COUNTIF(J43:AW43,"&lt;&gt;"))</f>
        <v>0</v>
      </c>
      <c r="J43" s="135" t="s">
        <v>46</v>
      </c>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1781</v>
      </c>
      <c r="B44" s="128" t="s">
        <v>1790</v>
      </c>
      <c r="C44" s="129" t="s">
        <v>1791</v>
      </c>
      <c r="D44" s="131" t="s">
        <v>1792</v>
      </c>
      <c r="E44" s="131" t="s">
        <v>1793</v>
      </c>
      <c r="F44" s="131" t="s">
        <v>1794</v>
      </c>
      <c r="G44" s="131" t="s">
        <v>1795</v>
      </c>
      <c r="H44" s="131" t="s">
        <v>1796</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1781</v>
      </c>
      <c r="B45" s="128" t="s">
        <v>1797</v>
      </c>
      <c r="C45" s="129" t="s">
        <v>1798</v>
      </c>
      <c r="D45" s="131" t="s">
        <v>1799</v>
      </c>
      <c r="E45" s="131" t="s">
        <v>1800</v>
      </c>
      <c r="F45" s="131" t="s">
        <v>1801</v>
      </c>
      <c r="G45" s="131" t="s">
        <v>1802</v>
      </c>
      <c r="H45" s="131" t="s">
        <v>1803</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1781</v>
      </c>
      <c r="B46" s="128" t="s">
        <v>1804</v>
      </c>
      <c r="C46" s="129" t="s">
        <v>1805</v>
      </c>
      <c r="D46" s="131" t="s">
        <v>1806</v>
      </c>
      <c r="E46" s="131" t="s">
        <v>1807</v>
      </c>
      <c r="F46" s="131" t="s">
        <v>1808</v>
      </c>
      <c r="G46" s="131" t="s">
        <v>1802</v>
      </c>
      <c r="H46" s="131" t="s">
        <v>1809</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1781</v>
      </c>
      <c r="B47" s="128" t="s">
        <v>1810</v>
      </c>
      <c r="C47" s="129" t="s">
        <v>1811</v>
      </c>
      <c r="D47" s="131" t="s">
        <v>1812</v>
      </c>
      <c r="E47" s="131" t="s">
        <v>1813</v>
      </c>
      <c r="F47" s="131" t="s">
        <v>1814</v>
      </c>
      <c r="G47" s="131" t="s">
        <v>1815</v>
      </c>
      <c r="H47" s="131" t="s">
        <v>1816</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1781</v>
      </c>
      <c r="B48" s="128" t="s">
        <v>1817</v>
      </c>
      <c r="C48" s="129" t="s">
        <v>1818</v>
      </c>
      <c r="D48" s="131" t="s">
        <v>1819</v>
      </c>
      <c r="E48" s="131" t="s">
        <v>1820</v>
      </c>
      <c r="F48" s="131" t="s">
        <v>1821</v>
      </c>
      <c r="G48" s="131" t="s">
        <v>1822</v>
      </c>
      <c r="H48" s="131" t="s">
        <v>1823</v>
      </c>
      <c r="I48" s="133">
        <f>IF(COUNTIF(J48:AW48,"&lt;&gt;")=0,"",SUMPRODUCT(((Recommendations[ImplStatus]="Implemented")+(Recommendations[ImplStatus]="Compensated"))*ISNUMBER(MATCH(Recommendations[Id],J48:AW48,0)))/COUNTIF(J48:AW48,"&lt;&gt;"))</f>
        <v>0</v>
      </c>
      <c r="J48" s="135" t="s">
        <v>61</v>
      </c>
      <c r="K48" s="135" t="s">
        <v>66</v>
      </c>
      <c r="L48" s="135" t="s">
        <v>71</v>
      </c>
      <c r="M48" s="135" t="s">
        <v>76</v>
      </c>
      <c r="N48" s="135" t="s">
        <v>80</v>
      </c>
      <c r="O48" s="135" t="s">
        <v>84</v>
      </c>
      <c r="P48" s="135" t="s">
        <v>212</v>
      </c>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1781</v>
      </c>
      <c r="B49" s="128" t="s">
        <v>1824</v>
      </c>
      <c r="C49" s="129" t="s">
        <v>1825</v>
      </c>
      <c r="D49" s="131" t="s">
        <v>1826</v>
      </c>
      <c r="E49" s="131" t="s">
        <v>1827</v>
      </c>
      <c r="F49" s="131" t="s">
        <v>1828</v>
      </c>
      <c r="G49" s="131" t="s">
        <v>1586</v>
      </c>
      <c r="H49" s="131" t="s">
        <v>1829</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1781</v>
      </c>
      <c r="B50" s="128" t="s">
        <v>1830</v>
      </c>
      <c r="C50" s="129" t="s">
        <v>1831</v>
      </c>
      <c r="D50" s="131" t="s">
        <v>1832</v>
      </c>
      <c r="E50" s="131" t="s">
        <v>1833</v>
      </c>
      <c r="F50" s="131" t="s">
        <v>1834</v>
      </c>
      <c r="G50" s="131" t="s">
        <v>1835</v>
      </c>
      <c r="H50" s="131" t="s">
        <v>1836</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1837</v>
      </c>
      <c r="B51" s="127"/>
      <c r="C51" s="126" t="s">
        <v>1838</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1837</v>
      </c>
      <c r="B52" s="128" t="s">
        <v>1839</v>
      </c>
      <c r="C52" s="129" t="s">
        <v>1840</v>
      </c>
      <c r="D52" s="131" t="s">
        <v>1841</v>
      </c>
      <c r="E52" s="131" t="s">
        <v>1842</v>
      </c>
      <c r="F52" s="131" t="s">
        <v>1843</v>
      </c>
      <c r="G52" s="131" t="s">
        <v>1844</v>
      </c>
      <c r="H52" s="131" t="s">
        <v>1845</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1837</v>
      </c>
      <c r="B53" s="128" t="s">
        <v>1846</v>
      </c>
      <c r="C53" s="129" t="s">
        <v>1847</v>
      </c>
      <c r="D53" s="131" t="s">
        <v>1848</v>
      </c>
      <c r="E53" s="131" t="s">
        <v>1849</v>
      </c>
      <c r="F53" s="131" t="s">
        <v>1850</v>
      </c>
      <c r="G53" s="131" t="s">
        <v>1851</v>
      </c>
      <c r="H53" s="131" t="s">
        <v>1852</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1837</v>
      </c>
      <c r="B54" s="128" t="s">
        <v>1853</v>
      </c>
      <c r="C54" s="129" t="s">
        <v>1854</v>
      </c>
      <c r="D54" s="131" t="s">
        <v>1855</v>
      </c>
      <c r="E54" s="131" t="s">
        <v>1856</v>
      </c>
      <c r="F54" s="131" t="s">
        <v>1857</v>
      </c>
      <c r="G54" s="131" t="s">
        <v>1858</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1837</v>
      </c>
      <c r="B55" s="128" t="s">
        <v>1859</v>
      </c>
      <c r="C55" s="129" t="s">
        <v>1860</v>
      </c>
      <c r="D55" s="131" t="s">
        <v>1861</v>
      </c>
      <c r="E55" s="131" t="s">
        <v>1862</v>
      </c>
      <c r="F55" s="131" t="s">
        <v>1863</v>
      </c>
      <c r="G55" s="131" t="s">
        <v>1864</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1837</v>
      </c>
      <c r="B56" s="128" t="s">
        <v>1865</v>
      </c>
      <c r="C56" s="129" t="s">
        <v>1866</v>
      </c>
      <c r="D56" s="131" t="s">
        <v>1867</v>
      </c>
      <c r="E56" s="131" t="s">
        <v>1868</v>
      </c>
      <c r="F56" s="131" t="s">
        <v>1869</v>
      </c>
      <c r="G56" s="131" t="s">
        <v>1870</v>
      </c>
      <c r="H56" s="131" t="s">
        <v>1871</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1872</v>
      </c>
      <c r="B57" s="127"/>
      <c r="C57" s="126" t="s">
        <v>1873</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1872</v>
      </c>
      <c r="B58" s="128" t="s">
        <v>1874</v>
      </c>
      <c r="C58" s="129" t="s">
        <v>1875</v>
      </c>
      <c r="D58" s="131" t="s">
        <v>1876</v>
      </c>
      <c r="E58" s="131" t="s">
        <v>1877</v>
      </c>
      <c r="F58" s="131" t="s">
        <v>1878</v>
      </c>
      <c r="G58" s="131" t="s">
        <v>1879</v>
      </c>
      <c r="H58" s="131" t="s">
        <v>1880</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1872</v>
      </c>
      <c r="B59" s="128" t="s">
        <v>1881</v>
      </c>
      <c r="C59" s="129" t="s">
        <v>1882</v>
      </c>
      <c r="D59" s="131" t="s">
        <v>1883</v>
      </c>
      <c r="E59" s="131" t="s">
        <v>1884</v>
      </c>
      <c r="F59" s="131" t="s">
        <v>1885</v>
      </c>
      <c r="G59" s="131" t="s">
        <v>1886</v>
      </c>
      <c r="H59" s="131" t="s">
        <v>1887</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1872</v>
      </c>
      <c r="B60" s="128" t="s">
        <v>1888</v>
      </c>
      <c r="C60" s="129" t="s">
        <v>1889</v>
      </c>
      <c r="D60" s="131" t="s">
        <v>1890</v>
      </c>
      <c r="E60" s="131" t="s">
        <v>1891</v>
      </c>
      <c r="F60" s="131" t="s">
        <v>1892</v>
      </c>
      <c r="G60" s="131" t="s">
        <v>1893</v>
      </c>
      <c r="H60" s="131" t="s">
        <v>1894</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1895</v>
      </c>
      <c r="B61" s="127"/>
      <c r="C61" s="126" t="s">
        <v>1896</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1895</v>
      </c>
      <c r="B62" s="128" t="s">
        <v>1897</v>
      </c>
      <c r="C62" s="129" t="s">
        <v>1898</v>
      </c>
      <c r="D62" s="131" t="s">
        <v>1899</v>
      </c>
      <c r="E62" s="131" t="s">
        <v>1900</v>
      </c>
      <c r="F62" s="131" t="s">
        <v>1901</v>
      </c>
      <c r="G62" s="131" t="s">
        <v>1902</v>
      </c>
      <c r="H62" s="131" t="s">
        <v>1903</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1895</v>
      </c>
      <c r="B63" s="128" t="s">
        <v>1904</v>
      </c>
      <c r="C63" s="129" t="s">
        <v>1905</v>
      </c>
      <c r="D63" s="131" t="s">
        <v>1906</v>
      </c>
      <c r="E63" s="131" t="s">
        <v>1907</v>
      </c>
      <c r="F63" s="131" t="s">
        <v>1908</v>
      </c>
      <c r="G63" s="131" t="s">
        <v>1909</v>
      </c>
      <c r="H63" s="131" t="s">
        <v>1910</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1895</v>
      </c>
      <c r="B64" s="128" t="s">
        <v>1911</v>
      </c>
      <c r="C64" s="129" t="s">
        <v>1912</v>
      </c>
      <c r="D64" s="131" t="s">
        <v>1913</v>
      </c>
      <c r="E64" s="131" t="s">
        <v>1914</v>
      </c>
      <c r="F64" s="131" t="s">
        <v>1915</v>
      </c>
      <c r="G64" s="131" t="s">
        <v>1916</v>
      </c>
      <c r="H64" s="131" t="s">
        <v>1917</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1895</v>
      </c>
      <c r="B65" s="128" t="s">
        <v>1918</v>
      </c>
      <c r="C65" s="129" t="s">
        <v>1919</v>
      </c>
      <c r="D65" s="131" t="s">
        <v>1920</v>
      </c>
      <c r="E65" s="131" t="s">
        <v>1921</v>
      </c>
      <c r="F65" s="131" t="s">
        <v>1922</v>
      </c>
      <c r="G65" s="131" t="s">
        <v>1923</v>
      </c>
      <c r="H65" s="131" t="s">
        <v>1924</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1895</v>
      </c>
      <c r="B66" s="128" t="s">
        <v>1925</v>
      </c>
      <c r="C66" s="129" t="s">
        <v>1926</v>
      </c>
      <c r="D66" s="131" t="s">
        <v>1927</v>
      </c>
      <c r="E66" s="131" t="s">
        <v>1928</v>
      </c>
      <c r="F66" s="131" t="s">
        <v>1929</v>
      </c>
      <c r="G66" s="131" t="s">
        <v>1930</v>
      </c>
      <c r="H66" s="131" t="s">
        <v>1931</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1895</v>
      </c>
      <c r="B67" s="128" t="s">
        <v>1932</v>
      </c>
      <c r="C67" s="129" t="s">
        <v>1933</v>
      </c>
      <c r="D67" s="131" t="s">
        <v>1934</v>
      </c>
      <c r="E67" s="131" t="s">
        <v>1935</v>
      </c>
      <c r="F67" s="131" t="s">
        <v>1936</v>
      </c>
      <c r="G67" s="131" t="s">
        <v>1937</v>
      </c>
      <c r="H67" s="131" t="s">
        <v>1938</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1895</v>
      </c>
      <c r="B68" s="128" t="s">
        <v>1939</v>
      </c>
      <c r="C68" s="129" t="s">
        <v>1940</v>
      </c>
      <c r="D68" s="131" t="s">
        <v>1941</v>
      </c>
      <c r="E68" s="131" t="s">
        <v>1942</v>
      </c>
      <c r="F68" s="131" t="s">
        <v>1943</v>
      </c>
      <c r="G68" s="131" t="s">
        <v>1944</v>
      </c>
      <c r="H68" s="131" t="s">
        <v>1945</v>
      </c>
      <c r="I68" s="133">
        <f>IF(COUNTIF(J68:AW68,"&lt;&gt;")=0,"",SUMPRODUCT(((Recommendations[ImplStatus]="Implemented")+(Recommendations[ImplStatus]="Compensated"))*ISNUMBER(MATCH(Recommendations[Id],J68:AW68,0)))/COUNTIF(J68:AW68,"&lt;&gt;"))</f>
        <v>0</v>
      </c>
      <c r="J68" s="135" t="s">
        <v>120</v>
      </c>
      <c r="K68" s="135" t="s">
        <v>150</v>
      </c>
      <c r="L68" s="135" t="s">
        <v>155</v>
      </c>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1946</v>
      </c>
      <c r="B69" s="127"/>
      <c r="C69" s="126" t="s">
        <v>1947</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1946</v>
      </c>
      <c r="B70" s="128" t="s">
        <v>1948</v>
      </c>
      <c r="C70" s="129" t="s">
        <v>1949</v>
      </c>
      <c r="D70" s="131" t="s">
        <v>1950</v>
      </c>
      <c r="E70" s="131" t="s">
        <v>1951</v>
      </c>
      <c r="F70" s="131" t="s">
        <v>1952</v>
      </c>
      <c r="G70" s="131" t="s">
        <v>1953</v>
      </c>
      <c r="H70" s="131" t="s">
        <v>1954</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1946</v>
      </c>
      <c r="B71" s="128" t="s">
        <v>1955</v>
      </c>
      <c r="C71" s="129" t="s">
        <v>1956</v>
      </c>
      <c r="D71" s="131" t="s">
        <v>1957</v>
      </c>
      <c r="E71" s="131" t="s">
        <v>1958</v>
      </c>
      <c r="F71" s="131" t="s">
        <v>1959</v>
      </c>
      <c r="G71" s="131" t="s">
        <v>1960</v>
      </c>
      <c r="H71" s="131" t="s">
        <v>1961</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1962</v>
      </c>
      <c r="B72" s="127"/>
      <c r="C72" s="126" t="s">
        <v>1963</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1962</v>
      </c>
      <c r="B73" s="128" t="s">
        <v>1964</v>
      </c>
      <c r="C73" s="129" t="s">
        <v>1965</v>
      </c>
      <c r="D73" s="131" t="s">
        <v>1966</v>
      </c>
      <c r="E73" s="131" t="s">
        <v>1967</v>
      </c>
      <c r="F73" s="131" t="s">
        <v>1968</v>
      </c>
      <c r="G73" s="131" t="s">
        <v>1969</v>
      </c>
      <c r="H73" s="131" t="s">
        <v>1970</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1962</v>
      </c>
      <c r="B74" s="128" t="s">
        <v>1971</v>
      </c>
      <c r="C74" s="129" t="s">
        <v>1972</v>
      </c>
      <c r="D74" s="131" t="s">
        <v>1973</v>
      </c>
      <c r="E74" s="131" t="s">
        <v>1974</v>
      </c>
      <c r="F74" s="131" t="s">
        <v>1975</v>
      </c>
      <c r="G74" s="131" t="s">
        <v>1976</v>
      </c>
      <c r="H74" s="131" t="s">
        <v>1977</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1962</v>
      </c>
      <c r="B75" s="128" t="s">
        <v>1978</v>
      </c>
      <c r="C75" s="129" t="s">
        <v>1979</v>
      </c>
      <c r="D75" s="131" t="s">
        <v>1980</v>
      </c>
      <c r="E75" s="131" t="s">
        <v>1981</v>
      </c>
      <c r="F75" s="131" t="s">
        <v>1982</v>
      </c>
      <c r="G75" s="131" t="s">
        <v>1983</v>
      </c>
      <c r="H75" s="131" t="s">
        <v>1984</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1962</v>
      </c>
      <c r="B76" s="128" t="s">
        <v>1985</v>
      </c>
      <c r="C76" s="129" t="s">
        <v>1986</v>
      </c>
      <c r="D76" s="131" t="s">
        <v>1987</v>
      </c>
      <c r="E76" s="131" t="s">
        <v>1988</v>
      </c>
      <c r="F76" s="131" t="s">
        <v>1989</v>
      </c>
      <c r="G76" s="131" t="s">
        <v>1990</v>
      </c>
      <c r="H76" s="131" t="s">
        <v>1991</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1962</v>
      </c>
      <c r="B77" s="128" t="s">
        <v>1992</v>
      </c>
      <c r="C77" s="129" t="s">
        <v>1993</v>
      </c>
      <c r="D77" s="131" t="s">
        <v>1994</v>
      </c>
      <c r="E77" s="131" t="s">
        <v>1995</v>
      </c>
      <c r="F77" s="131" t="s">
        <v>1996</v>
      </c>
      <c r="G77" s="131" t="s">
        <v>1990</v>
      </c>
      <c r="H77" s="131" t="s">
        <v>1997</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1998</v>
      </c>
      <c r="B78" s="127"/>
      <c r="C78" s="126" t="s">
        <v>1999</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1998</v>
      </c>
      <c r="B79" s="128" t="s">
        <v>1998</v>
      </c>
      <c r="C79" s="129" t="s">
        <v>2000</v>
      </c>
      <c r="D79" s="131" t="s">
        <v>2001</v>
      </c>
      <c r="E79" s="131" t="s">
        <v>2002</v>
      </c>
      <c r="F79" s="131" t="s">
        <v>2003</v>
      </c>
      <c r="G79" s="131" t="s">
        <v>2004</v>
      </c>
      <c r="H79" s="131" t="s">
        <v>2005</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1998</v>
      </c>
      <c r="B80" s="128" t="s">
        <v>2006</v>
      </c>
      <c r="C80" s="129" t="s">
        <v>2007</v>
      </c>
      <c r="D80" s="131" t="s">
        <v>2008</v>
      </c>
      <c r="E80" s="131" t="s">
        <v>2009</v>
      </c>
      <c r="F80" s="131" t="s">
        <v>2010</v>
      </c>
      <c r="G80" s="131" t="s">
        <v>2011</v>
      </c>
      <c r="H80" s="131" t="s">
        <v>2012</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1998</v>
      </c>
      <c r="B81" s="128" t="s">
        <v>2013</v>
      </c>
      <c r="C81" s="129" t="s">
        <v>2014</v>
      </c>
      <c r="D81" s="131" t="s">
        <v>2015</v>
      </c>
      <c r="E81" s="131" t="s">
        <v>2016</v>
      </c>
      <c r="F81" s="131" t="s">
        <v>2017</v>
      </c>
      <c r="G81" s="131" t="s">
        <v>2018</v>
      </c>
      <c r="H81" s="131" t="s">
        <v>2019</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2020</v>
      </c>
      <c r="B82" s="127"/>
      <c r="C82" s="126" t="s">
        <v>2021</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2020</v>
      </c>
      <c r="B83" s="128" t="s">
        <v>2022</v>
      </c>
      <c r="C83" s="129" t="s">
        <v>2023</v>
      </c>
      <c r="D83" s="131" t="s">
        <v>2024</v>
      </c>
      <c r="E83" s="131" t="s">
        <v>2025</v>
      </c>
      <c r="F83" s="131" t="s">
        <v>2026</v>
      </c>
      <c r="G83" s="131" t="s">
        <v>2027</v>
      </c>
      <c r="H83" s="131" t="s">
        <v>2028</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2020</v>
      </c>
      <c r="B84" s="128" t="s">
        <v>2029</v>
      </c>
      <c r="C84" s="129" t="s">
        <v>2030</v>
      </c>
      <c r="D84" s="131" t="s">
        <v>2031</v>
      </c>
      <c r="E84" s="131" t="s">
        <v>2032</v>
      </c>
      <c r="F84" s="131" t="s">
        <v>2033</v>
      </c>
      <c r="G84" s="131" t="s">
        <v>2034</v>
      </c>
      <c r="H84" s="131" t="s">
        <v>2035</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2020</v>
      </c>
      <c r="B85" s="128" t="s">
        <v>2036</v>
      </c>
      <c r="C85" s="129" t="s">
        <v>2037</v>
      </c>
      <c r="D85" s="131" t="s">
        <v>2038</v>
      </c>
      <c r="E85" s="131" t="s">
        <v>2039</v>
      </c>
      <c r="F85" s="131" t="s">
        <v>2040</v>
      </c>
      <c r="G85" s="131" t="s">
        <v>2041</v>
      </c>
      <c r="H85" s="131" t="s">
        <v>2042</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2020</v>
      </c>
      <c r="B86" s="128" t="s">
        <v>2043</v>
      </c>
      <c r="C86" s="129" t="s">
        <v>2044</v>
      </c>
      <c r="D86" s="131" t="s">
        <v>2045</v>
      </c>
      <c r="E86" s="131" t="s">
        <v>2046</v>
      </c>
      <c r="F86" s="131" t="s">
        <v>2047</v>
      </c>
      <c r="G86" s="131" t="s">
        <v>2048</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2049</v>
      </c>
      <c r="B87" s="127"/>
      <c r="C87" s="126" t="s">
        <v>2050</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2049</v>
      </c>
      <c r="B88" s="128" t="s">
        <v>2051</v>
      </c>
      <c r="C88" s="129" t="s">
        <v>2052</v>
      </c>
      <c r="D88" s="131" t="s">
        <v>2053</v>
      </c>
      <c r="E88" s="131" t="s">
        <v>2054</v>
      </c>
      <c r="F88" s="131" t="s">
        <v>2055</v>
      </c>
      <c r="G88" s="131" t="s">
        <v>2056</v>
      </c>
      <c r="H88" s="131" t="s">
        <v>2057</v>
      </c>
      <c r="I88" s="133">
        <f>IF(COUNTIF(J88:AW88,"&lt;&gt;")=0,"",SUMPRODUCT(((Recommendations[ImplStatus]="Implemented")+(Recommendations[ImplStatus]="Compensated"))*ISNUMBER(MATCH(Recommendations[Id],J88:AW88,0)))/COUNTIF(J88:AW88,"&lt;&gt;"))</f>
        <v>0</v>
      </c>
      <c r="J88" s="135" t="s">
        <v>104</v>
      </c>
      <c r="K88" s="135" t="s">
        <v>166</v>
      </c>
      <c r="L88" s="135" t="s">
        <v>202</v>
      </c>
      <c r="M88" s="135" t="s">
        <v>265</v>
      </c>
      <c r="N88" s="135" t="s">
        <v>280</v>
      </c>
      <c r="O88" s="135" t="s">
        <v>309</v>
      </c>
      <c r="P88" s="135" t="s">
        <v>319</v>
      </c>
      <c r="Q88" s="135" t="s">
        <v>324</v>
      </c>
      <c r="R88" s="135" t="s">
        <v>329</v>
      </c>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2049</v>
      </c>
      <c r="B89" s="128" t="s">
        <v>2058</v>
      </c>
      <c r="C89" s="129" t="s">
        <v>2059</v>
      </c>
      <c r="D89" s="131" t="s">
        <v>2060</v>
      </c>
      <c r="E89" s="131" t="s">
        <v>2061</v>
      </c>
      <c r="F89" s="131" t="s">
        <v>2062</v>
      </c>
      <c r="G89" s="131" t="s">
        <v>1586</v>
      </c>
      <c r="H89" s="131" t="s">
        <v>2063</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2049</v>
      </c>
      <c r="B90" s="128" t="s">
        <v>2064</v>
      </c>
      <c r="C90" s="129" t="s">
        <v>2065</v>
      </c>
      <c r="D90" s="131" t="s">
        <v>2066</v>
      </c>
      <c r="E90" s="131" t="s">
        <v>2067</v>
      </c>
      <c r="F90" s="131" t="s">
        <v>2068</v>
      </c>
      <c r="G90" s="131" t="s">
        <v>2056</v>
      </c>
      <c r="H90" s="131" t="s">
        <v>2069</v>
      </c>
      <c r="I90" s="133">
        <f>IF(COUNTIF(J90:AW90,"&lt;&gt;")=0,"",SUMPRODUCT(((Recommendations[ImplStatus]="Implemented")+(Recommendations[ImplStatus]="Compensated"))*ISNUMBER(MATCH(Recommendations[Id],J90:AW90,0)))/COUNTIF(J90:AW90,"&lt;&gt;"))</f>
        <v>0</v>
      </c>
      <c r="J90" s="135" t="s">
        <v>171</v>
      </c>
      <c r="K90" s="135" t="s">
        <v>270</v>
      </c>
      <c r="L90" s="135" t="s">
        <v>314</v>
      </c>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2049</v>
      </c>
      <c r="B91" s="128" t="s">
        <v>2070</v>
      </c>
      <c r="C91" s="129" t="s">
        <v>2071</v>
      </c>
      <c r="D91" s="131" t="s">
        <v>2072</v>
      </c>
      <c r="E91" s="131" t="s">
        <v>2073</v>
      </c>
      <c r="F91" s="131" t="s">
        <v>2074</v>
      </c>
      <c r="G91" s="131" t="s">
        <v>1586</v>
      </c>
      <c r="H91" s="131" t="s">
        <v>2075</v>
      </c>
      <c r="I91" s="133">
        <f>IF(COUNTIF(J91:AW91,"&lt;&gt;")=0,"",SUMPRODUCT(((Recommendations[ImplStatus]="Implemented")+(Recommendations[ImplStatus]="Compensated"))*ISNUMBER(MATCH(Recommendations[Id],J91:AW91,0)))/COUNTIF(J91:AW91,"&lt;&gt;"))</f>
        <v>0</v>
      </c>
      <c r="J91" s="135" t="s">
        <v>56</v>
      </c>
      <c r="K91" s="135" t="s">
        <v>125</v>
      </c>
      <c r="L91" s="135" t="s">
        <v>145</v>
      </c>
      <c r="M91" s="135" t="s">
        <v>197</v>
      </c>
      <c r="N91" s="135" t="s">
        <v>207</v>
      </c>
      <c r="O91" s="135" t="s">
        <v>232</v>
      </c>
      <c r="P91" s="135" t="s">
        <v>255</v>
      </c>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2049</v>
      </c>
      <c r="B92" s="128" t="s">
        <v>2076</v>
      </c>
      <c r="C92" s="129" t="s">
        <v>2077</v>
      </c>
      <c r="D92" s="131" t="s">
        <v>2078</v>
      </c>
      <c r="E92" s="131" t="s">
        <v>2079</v>
      </c>
      <c r="F92" s="131" t="s">
        <v>2080</v>
      </c>
      <c r="G92" s="131" t="s">
        <v>1586</v>
      </c>
      <c r="H92" s="131" t="s">
        <v>2081</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2049</v>
      </c>
      <c r="B93" s="128" t="s">
        <v>2082</v>
      </c>
      <c r="C93" s="129" t="s">
        <v>2083</v>
      </c>
      <c r="D93" s="131" t="s">
        <v>2084</v>
      </c>
      <c r="E93" s="131" t="s">
        <v>2085</v>
      </c>
      <c r="F93" s="131" t="s">
        <v>2086</v>
      </c>
      <c r="G93" s="131" t="s">
        <v>2087</v>
      </c>
      <c r="H93" s="131" t="s">
        <v>2088</v>
      </c>
      <c r="I93" s="133" t="str">
        <f>IF(COUNTIF(J93:AW93,"&lt;&gt;")=0,"",SUMPRODUCT(((Recommendations[ImplStatus]="Implemented")+(Recommendations[ImplStatus]="Compensated"))*ISNUMBER(MATCH(Recommendations[Id],J93:AW93,0)))/COUNTIF(J93:AW93,"&lt;&gt;"))</f>
        <v/>
      </c>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2049</v>
      </c>
      <c r="B94" s="128" t="s">
        <v>2089</v>
      </c>
      <c r="C94" s="129" t="s">
        <v>2090</v>
      </c>
      <c r="D94" s="131" t="s">
        <v>2091</v>
      </c>
      <c r="E94" s="131" t="s">
        <v>2092</v>
      </c>
      <c r="F94" s="131" t="s">
        <v>2093</v>
      </c>
      <c r="G94" s="131" t="s">
        <v>2094</v>
      </c>
      <c r="H94" s="131" t="s">
        <v>2095</v>
      </c>
      <c r="I94" s="133">
        <f>IF(COUNTIF(J94:AW94,"&lt;&gt;")=0,"",SUMPRODUCT(((Recommendations[ImplStatus]="Implemented")+(Recommendations[ImplStatus]="Compensated"))*ISNUMBER(MATCH(Recommendations[Id],J94:AW94,0)))/COUNTIF(J94:AW94,"&lt;&gt;"))</f>
        <v>0</v>
      </c>
      <c r="J94" s="135" t="s">
        <v>56</v>
      </c>
      <c r="K94" s="135" t="s">
        <v>145</v>
      </c>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2049</v>
      </c>
      <c r="B95" s="128" t="s">
        <v>2096</v>
      </c>
      <c r="C95" s="129" t="s">
        <v>2097</v>
      </c>
      <c r="D95" s="131" t="s">
        <v>2098</v>
      </c>
      <c r="E95" s="131" t="s">
        <v>2099</v>
      </c>
      <c r="F95" s="131" t="s">
        <v>2100</v>
      </c>
      <c r="G95" s="131" t="s">
        <v>2101</v>
      </c>
      <c r="H95" s="131" t="s">
        <v>2102</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2049</v>
      </c>
      <c r="B96" s="128" t="s">
        <v>2103</v>
      </c>
      <c r="C96" s="129" t="s">
        <v>2104</v>
      </c>
      <c r="D96" s="131" t="s">
        <v>2105</v>
      </c>
      <c r="E96" s="131" t="s">
        <v>2106</v>
      </c>
      <c r="F96" s="131" t="s">
        <v>2107</v>
      </c>
      <c r="G96" s="131" t="s">
        <v>2108</v>
      </c>
      <c r="H96" s="131" t="s">
        <v>2109</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2049</v>
      </c>
      <c r="B97" s="128" t="s">
        <v>2110</v>
      </c>
      <c r="C97" s="129" t="s">
        <v>2111</v>
      </c>
      <c r="D97" s="131" t="s">
        <v>2112</v>
      </c>
      <c r="E97" s="131" t="s">
        <v>2113</v>
      </c>
      <c r="F97" s="131" t="s">
        <v>2114</v>
      </c>
      <c r="G97" s="131" t="s">
        <v>2115</v>
      </c>
      <c r="H97" s="131" t="s">
        <v>2116</v>
      </c>
      <c r="I97" s="133">
        <f>IF(COUNTIF(J97:AW97,"&lt;&gt;")=0,"",SUMPRODUCT(((Recommendations[ImplStatus]="Implemented")+(Recommendations[ImplStatus]="Compensated"))*ISNUMBER(MATCH(Recommendations[Id],J97:AW97,0)))/COUNTIF(J97:AW97,"&lt;&gt;"))</f>
        <v>0</v>
      </c>
      <c r="J97" s="135" t="s">
        <v>125</v>
      </c>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2117</v>
      </c>
      <c r="B98" s="127"/>
      <c r="C98" s="126" t="s">
        <v>2118</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2117</v>
      </c>
      <c r="B99" s="128" t="s">
        <v>2119</v>
      </c>
      <c r="C99" s="129" t="s">
        <v>2120</v>
      </c>
      <c r="D99" s="131" t="s">
        <v>2121</v>
      </c>
      <c r="E99" s="131" t="s">
        <v>2122</v>
      </c>
      <c r="F99" s="131" t="s">
        <v>2123</v>
      </c>
      <c r="G99" s="131" t="s">
        <v>2124</v>
      </c>
      <c r="H99" s="131" t="s">
        <v>2125</v>
      </c>
      <c r="I99" s="133">
        <f>IF(COUNTIF(J99:AW99,"&lt;&gt;")=0,"",SUMPRODUCT(((Recommendations[ImplStatus]="Implemented")+(Recommendations[ImplStatus]="Compensated"))*ISNUMBER(MATCH(Recommendations[Id],J99:AW99,0)))/COUNTIF(J99:AW99,"&lt;&gt;"))</f>
        <v>0</v>
      </c>
      <c r="J99" s="135" t="s">
        <v>130</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2117</v>
      </c>
      <c r="B100" s="128" t="s">
        <v>2126</v>
      </c>
      <c r="C100" s="129" t="s">
        <v>2127</v>
      </c>
      <c r="D100" s="131" t="s">
        <v>2128</v>
      </c>
      <c r="E100" s="131" t="s">
        <v>2129</v>
      </c>
      <c r="F100" s="131" t="s">
        <v>2130</v>
      </c>
      <c r="G100" s="131" t="s">
        <v>2131</v>
      </c>
      <c r="H100" s="131" t="s">
        <v>2132</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2117</v>
      </c>
      <c r="B101" s="128" t="s">
        <v>2133</v>
      </c>
      <c r="C101" s="129" t="s">
        <v>2134</v>
      </c>
      <c r="D101" s="131" t="s">
        <v>2135</v>
      </c>
      <c r="E101" s="131" t="s">
        <v>2136</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2117</v>
      </c>
      <c r="B102" s="128" t="s">
        <v>2137</v>
      </c>
      <c r="C102" s="129" t="s">
        <v>2138</v>
      </c>
      <c r="D102" s="131" t="s">
        <v>2139</v>
      </c>
      <c r="E102" s="131" t="s">
        <v>2140</v>
      </c>
      <c r="F102" s="131" t="s">
        <v>2141</v>
      </c>
      <c r="G102" s="131" t="s">
        <v>2142</v>
      </c>
      <c r="H102" s="131" t="s">
        <v>2143</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2117</v>
      </c>
      <c r="B103" s="128" t="s">
        <v>2144</v>
      </c>
      <c r="C103" s="129" t="s">
        <v>2145</v>
      </c>
      <c r="D103" s="131" t="s">
        <v>2146</v>
      </c>
      <c r="E103" s="131" t="s">
        <v>2147</v>
      </c>
      <c r="F103" s="131" t="s">
        <v>2148</v>
      </c>
      <c r="G103" s="131" t="s">
        <v>2149</v>
      </c>
      <c r="H103" s="131" t="s">
        <v>2150</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2151</v>
      </c>
      <c r="B104" s="127"/>
      <c r="C104" s="126" t="s">
        <v>2152</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2151</v>
      </c>
      <c r="B105" s="128" t="s">
        <v>2153</v>
      </c>
      <c r="C105" s="129" t="s">
        <v>2154</v>
      </c>
      <c r="D105" s="131" t="s">
        <v>2155</v>
      </c>
      <c r="E105" s="131" t="s">
        <v>2156</v>
      </c>
      <c r="F105" s="131" t="s">
        <v>2157</v>
      </c>
      <c r="G105" s="131" t="s">
        <v>2158</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2151</v>
      </c>
      <c r="B106" s="128" t="s">
        <v>2159</v>
      </c>
      <c r="C106" s="129" t="s">
        <v>2160</v>
      </c>
      <c r="D106" s="131" t="s">
        <v>2161</v>
      </c>
      <c r="E106" s="131" t="s">
        <v>2162</v>
      </c>
      <c r="F106" s="131" t="s">
        <v>2163</v>
      </c>
      <c r="G106" s="131" t="s">
        <v>2164</v>
      </c>
      <c r="H106" s="131" t="s">
        <v>2165</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2151</v>
      </c>
      <c r="B107" s="128" t="s">
        <v>2166</v>
      </c>
      <c r="C107" s="129" t="s">
        <v>2167</v>
      </c>
      <c r="D107" s="131" t="s">
        <v>2168</v>
      </c>
      <c r="E107" s="131" t="s">
        <v>2169</v>
      </c>
      <c r="F107" s="131" t="s">
        <v>2170</v>
      </c>
      <c r="G107" s="131" t="s">
        <v>2171</v>
      </c>
      <c r="H107" s="131" t="s">
        <v>2172</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2173</v>
      </c>
      <c r="B108" s="127"/>
      <c r="C108" s="126" t="s">
        <v>2174</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2173</v>
      </c>
      <c r="B109" s="128" t="s">
        <v>2175</v>
      </c>
      <c r="C109" s="129" t="s">
        <v>2176</v>
      </c>
      <c r="D109" s="131" t="s">
        <v>2177</v>
      </c>
      <c r="E109" s="131" t="s">
        <v>2178</v>
      </c>
      <c r="F109" s="131" t="s">
        <v>2179</v>
      </c>
      <c r="G109" s="131" t="s">
        <v>2180</v>
      </c>
      <c r="H109" s="131" t="s">
        <v>2181</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2173</v>
      </c>
      <c r="B110" s="128" t="s">
        <v>2182</v>
      </c>
      <c r="C110" s="129" t="s">
        <v>2183</v>
      </c>
      <c r="D110" s="131" t="s">
        <v>2184</v>
      </c>
      <c r="E110" s="131" t="s">
        <v>2185</v>
      </c>
      <c r="F110" s="131" t="s">
        <v>2186</v>
      </c>
      <c r="G110" s="131" t="s">
        <v>2187</v>
      </c>
      <c r="H110" s="131" t="s">
        <v>2188</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2173</v>
      </c>
      <c r="B111" s="128" t="s">
        <v>2189</v>
      </c>
      <c r="C111" s="129" t="s">
        <v>2190</v>
      </c>
      <c r="D111" s="131" t="s">
        <v>2191</v>
      </c>
      <c r="E111" s="131" t="s">
        <v>2192</v>
      </c>
      <c r="F111" s="131" t="s">
        <v>2193</v>
      </c>
      <c r="G111" s="131" t="s">
        <v>2194</v>
      </c>
      <c r="H111" s="131" t="s">
        <v>2195</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2196</v>
      </c>
      <c r="B112" s="127"/>
      <c r="C112" s="126" t="s">
        <v>2197</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2196</v>
      </c>
      <c r="B113" s="128" t="s">
        <v>2198</v>
      </c>
      <c r="C113" s="129" t="s">
        <v>2199</v>
      </c>
      <c r="D113" s="131" t="s">
        <v>2200</v>
      </c>
      <c r="E113" s="131" t="s">
        <v>2201</v>
      </c>
      <c r="F113" s="131" t="s">
        <v>2202</v>
      </c>
      <c r="G113" s="131" t="s">
        <v>2203</v>
      </c>
      <c r="H113" s="131" t="s">
        <v>2204</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2196</v>
      </c>
      <c r="B114" s="128" t="s">
        <v>2205</v>
      </c>
      <c r="C114" s="129" t="s">
        <v>2206</v>
      </c>
      <c r="D114" s="131" t="s">
        <v>2207</v>
      </c>
      <c r="E114" s="131" t="s">
        <v>2208</v>
      </c>
      <c r="F114" s="131" t="s">
        <v>2209</v>
      </c>
      <c r="G114" s="131" t="s">
        <v>2203</v>
      </c>
      <c r="H114" s="131" t="s">
        <v>2210</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2196</v>
      </c>
      <c r="B115" s="136" t="s">
        <v>2211</v>
      </c>
      <c r="C115" s="137" t="s">
        <v>2212</v>
      </c>
      <c r="D115" s="138" t="s">
        <v>2213</v>
      </c>
      <c r="E115" s="138" t="s">
        <v>2214</v>
      </c>
      <c r="F115" s="138" t="s">
        <v>2215</v>
      </c>
      <c r="G115" s="138" t="s">
        <v>2216</v>
      </c>
      <c r="H115" s="138" t="s">
        <v>2217</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334</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IFERROR(INDEX('Recommendations'!$H$2:$H$64, MATCH(J2,'Recommendations'!$A$2:$A$64,0))="Implemented", FALSE))</xm:f>
            <x14:dxf>
              <font>
                <color rgb="FF000000"/>
              </font>
              <fill>
                <patternFill>
                  <bgColor rgb="FF3C7D22"/>
                </patternFill>
              </fill>
            </x14:dxf>
          </x14:cfRule>
          <x14:cfRule type="expression" priority="2" id="{00000000-000E-0000-0600-000002000000}">
            <xm:f>AND(J2&lt;&gt;"", IFERROR(INDEX('Recommendations'!$H$2:$H$64, MATCH(J2,'Recommendations'!$A$2:$A$64,0))="Compensated", FALSE))</xm:f>
            <x14:dxf>
              <font>
                <color rgb="FF000000"/>
              </font>
              <fill>
                <patternFill>
                  <bgColor rgb="FFC6E0B4"/>
                </patternFill>
              </fill>
            </x14:dxf>
          </x14:cfRule>
          <x14:cfRule type="expression" priority="3" id="{00000000-000E-0000-0600-000003000000}">
            <xm:f>AND(J2&lt;&gt;"", IFERROR(INDEX('Recommendations'!$H$2:$H$64, MATCH(J2,'Recommendations'!$A$2:$A$64,0))="Testing", FALSE))</xm:f>
            <x14:dxf>
              <font>
                <color rgb="FF000000"/>
              </font>
              <fill>
                <patternFill>
                  <bgColor rgb="FFFFC000"/>
                </patternFill>
              </fill>
            </x14:dxf>
          </x14:cfRule>
          <x14:cfRule type="expression" priority="4" id="{00000000-000E-0000-0600-000004000000}">
            <xm:f>AND(J2&lt;&gt;"", IFERROR(INDEX('Recommendations'!$H$2:$H$64, MATCH(J2,'Recommendations'!$A$2:$A$64,0))="Failed", FALSE))</xm:f>
            <x14:dxf>
              <font>
                <color rgb="FF000000"/>
              </font>
              <fill>
                <patternFill>
                  <bgColor rgb="FFD82891"/>
                </patternFill>
              </fill>
            </x14:dxf>
          </x14:cfRule>
          <x14:cfRule type="expression" priority="5" id="{00000000-000E-0000-0600-000005000000}">
            <xm:f>AND(J2&lt;&gt;"", IFERROR(INDEX('Recommendations'!$H$2:$H$64, MATCH(J2,'Recommendations'!$A$2:$A$64,0))="Risk Accepted", FALSE))</xm:f>
            <x14:dxf>
              <font>
                <color rgb="FF000000"/>
              </font>
              <fill>
                <patternFill>
                  <bgColor rgb="FFD9D9D9"/>
                </patternFill>
              </fill>
            </x14:dxf>
          </x14:cfRule>
          <x14:cfRule type="expression" priority="6" id="{00000000-000E-0000-0600-000006000000}">
            <xm:f>AND(J2&lt;&gt;"", IFERROR(INDEX('Recommendations'!$H$2:$H$64, MATCH(J2,'Recommendations'!$A$2:$A$64,0))="N/A",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2218</v>
      </c>
      <c r="B1" s="187" t="s">
        <v>2219</v>
      </c>
      <c r="C1" s="187" t="s">
        <v>0</v>
      </c>
      <c r="D1" s="187" t="s">
        <v>2220</v>
      </c>
      <c r="E1" s="187" t="s">
        <v>2221</v>
      </c>
      <c r="F1" s="187" t="s">
        <v>2222</v>
      </c>
      <c r="G1" s="187" t="s">
        <v>587</v>
      </c>
      <c r="H1" s="187" t="s">
        <v>588</v>
      </c>
      <c r="I1" s="187" t="s">
        <v>589</v>
      </c>
      <c r="J1" s="187" t="s">
        <v>590</v>
      </c>
      <c r="K1" s="187" t="s">
        <v>591</v>
      </c>
      <c r="L1" s="187" t="s">
        <v>592</v>
      </c>
      <c r="M1" s="187" t="s">
        <v>593</v>
      </c>
      <c r="N1" s="187" t="s">
        <v>594</v>
      </c>
      <c r="O1" s="187" t="s">
        <v>595</v>
      </c>
      <c r="P1" s="187" t="s">
        <v>596</v>
      </c>
      <c r="Q1" s="187" t="s">
        <v>597</v>
      </c>
      <c r="R1" s="187" t="s">
        <v>598</v>
      </c>
      <c r="S1" s="187" t="s">
        <v>599</v>
      </c>
      <c r="T1" s="187" t="s">
        <v>600</v>
      </c>
      <c r="U1" s="187" t="s">
        <v>601</v>
      </c>
      <c r="V1" s="187" t="s">
        <v>602</v>
      </c>
      <c r="W1" s="187" t="s">
        <v>603</v>
      </c>
      <c r="X1" s="187" t="s">
        <v>604</v>
      </c>
      <c r="Y1" s="187" t="s">
        <v>605</v>
      </c>
      <c r="Z1" s="187" t="s">
        <v>606</v>
      </c>
      <c r="AA1" s="187" t="s">
        <v>607</v>
      </c>
      <c r="AB1" s="187" t="s">
        <v>608</v>
      </c>
      <c r="AC1" s="187" t="s">
        <v>609</v>
      </c>
      <c r="AD1" s="187" t="s">
        <v>610</v>
      </c>
      <c r="AE1" s="187" t="s">
        <v>611</v>
      </c>
      <c r="AF1" s="187" t="s">
        <v>612</v>
      </c>
      <c r="AG1" s="187" t="s">
        <v>613</v>
      </c>
      <c r="AH1" s="187" t="s">
        <v>614</v>
      </c>
      <c r="AI1" s="187" t="s">
        <v>615</v>
      </c>
      <c r="AJ1" s="187" t="s">
        <v>616</v>
      </c>
      <c r="AK1" s="187" t="s">
        <v>617</v>
      </c>
      <c r="AL1" s="187" t="s">
        <v>618</v>
      </c>
      <c r="AM1" s="187" t="s">
        <v>619</v>
      </c>
      <c r="AN1" s="187" t="s">
        <v>620</v>
      </c>
      <c r="AO1" s="187" t="s">
        <v>621</v>
      </c>
      <c r="AP1" s="187" t="s">
        <v>622</v>
      </c>
      <c r="AQ1" s="187" t="s">
        <v>623</v>
      </c>
      <c r="AR1" s="187" t="s">
        <v>624</v>
      </c>
      <c r="AS1" s="187" t="s">
        <v>625</v>
      </c>
      <c r="AT1" s="187" t="s">
        <v>626</v>
      </c>
      <c r="AU1" s="188" t="s">
        <v>627</v>
      </c>
    </row>
    <row r="2" spans="1:47" ht="60" customHeight="1" outlineLevel="1" x14ac:dyDescent="0.35">
      <c r="A2" s="178" t="s">
        <v>2223</v>
      </c>
      <c r="B2" s="152" t="s">
        <v>21</v>
      </c>
      <c r="C2" s="150" t="s">
        <v>2224</v>
      </c>
      <c r="D2" s="156" t="s">
        <v>2225</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2223</v>
      </c>
      <c r="B3" s="153" t="s">
        <v>2226</v>
      </c>
      <c r="C3" s="151" t="s">
        <v>2227</v>
      </c>
      <c r="D3" s="157" t="s">
        <v>2228</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2223</v>
      </c>
      <c r="B4" s="154" t="s">
        <v>2226</v>
      </c>
      <c r="C4" s="155" t="s">
        <v>2229</v>
      </c>
      <c r="D4" s="158" t="s">
        <v>2230</v>
      </c>
      <c r="E4" s="161" t="s">
        <v>2231</v>
      </c>
      <c r="F4" s="164" t="s">
        <v>2232</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2223</v>
      </c>
      <c r="B5" s="154" t="s">
        <v>2226</v>
      </c>
      <c r="C5" s="155" t="s">
        <v>2233</v>
      </c>
      <c r="D5" s="158" t="s">
        <v>2234</v>
      </c>
      <c r="E5" s="161" t="s">
        <v>2235</v>
      </c>
      <c r="F5" s="164" t="s">
        <v>2236</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2223</v>
      </c>
      <c r="B6" s="154" t="s">
        <v>2226</v>
      </c>
      <c r="C6" s="155" t="s">
        <v>2237</v>
      </c>
      <c r="D6" s="158" t="s">
        <v>2238</v>
      </c>
      <c r="E6" s="161" t="s">
        <v>2239</v>
      </c>
      <c r="F6" s="164" t="s">
        <v>2236</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2223</v>
      </c>
      <c r="B7" s="154" t="s">
        <v>2226</v>
      </c>
      <c r="C7" s="155" t="s">
        <v>2240</v>
      </c>
      <c r="D7" s="158" t="s">
        <v>2241</v>
      </c>
      <c r="E7" s="161" t="s">
        <v>2242</v>
      </c>
      <c r="F7" s="164" t="s">
        <v>2236</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2223</v>
      </c>
      <c r="B8" s="154" t="s">
        <v>2226</v>
      </c>
      <c r="C8" s="155" t="s">
        <v>2243</v>
      </c>
      <c r="D8" s="158" t="s">
        <v>2244</v>
      </c>
      <c r="E8" s="161" t="s">
        <v>2245</v>
      </c>
      <c r="F8" s="164" t="s">
        <v>2246</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2223</v>
      </c>
      <c r="B9" s="153" t="s">
        <v>2247</v>
      </c>
      <c r="C9" s="151" t="s">
        <v>2248</v>
      </c>
      <c r="D9" s="157" t="s">
        <v>2249</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2223</v>
      </c>
      <c r="B10" s="154" t="s">
        <v>2247</v>
      </c>
      <c r="C10" s="155" t="s">
        <v>2250</v>
      </c>
      <c r="D10" s="158" t="s">
        <v>2251</v>
      </c>
      <c r="E10" s="161" t="s">
        <v>2252</v>
      </c>
      <c r="F10" s="164" t="s">
        <v>2232</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2223</v>
      </c>
      <c r="B11" s="154" t="s">
        <v>2247</v>
      </c>
      <c r="C11" s="155" t="s">
        <v>2253</v>
      </c>
      <c r="D11" s="158" t="s">
        <v>2254</v>
      </c>
      <c r="E11" s="161" t="s">
        <v>2255</v>
      </c>
      <c r="F11" s="164" t="s">
        <v>2232</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2223</v>
      </c>
      <c r="B12" s="154" t="s">
        <v>2247</v>
      </c>
      <c r="C12" s="155" t="s">
        <v>2256</v>
      </c>
      <c r="D12" s="158" t="s">
        <v>2257</v>
      </c>
      <c r="E12" s="161" t="s">
        <v>2258</v>
      </c>
      <c r="F12" s="164" t="s">
        <v>2232</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2223</v>
      </c>
      <c r="B13" s="153" t="s">
        <v>2259</v>
      </c>
      <c r="C13" s="151" t="s">
        <v>2260</v>
      </c>
      <c r="D13" s="157" t="s">
        <v>2261</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2223</v>
      </c>
      <c r="B14" s="154" t="s">
        <v>2259</v>
      </c>
      <c r="C14" s="155" t="s">
        <v>2262</v>
      </c>
      <c r="D14" s="158" t="s">
        <v>2263</v>
      </c>
      <c r="E14" s="161" t="s">
        <v>2264</v>
      </c>
      <c r="F14" s="164" t="s">
        <v>2232</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2223</v>
      </c>
      <c r="B15" s="154" t="s">
        <v>2259</v>
      </c>
      <c r="C15" s="155" t="s">
        <v>2265</v>
      </c>
      <c r="D15" s="158" t="s">
        <v>2266</v>
      </c>
      <c r="E15" s="161" t="s">
        <v>2267</v>
      </c>
      <c r="F15" s="164" t="s">
        <v>2232</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2223</v>
      </c>
      <c r="B16" s="153" t="s">
        <v>2268</v>
      </c>
      <c r="C16" s="151" t="s">
        <v>2269</v>
      </c>
      <c r="D16" s="157" t="s">
        <v>2270</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2223</v>
      </c>
      <c r="B17" s="154" t="s">
        <v>2268</v>
      </c>
      <c r="C17" s="155" t="s">
        <v>2271</v>
      </c>
      <c r="D17" s="158" t="s">
        <v>2272</v>
      </c>
      <c r="E17" s="161" t="s">
        <v>2273</v>
      </c>
      <c r="F17" s="164" t="s">
        <v>2232</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2223</v>
      </c>
      <c r="B18" s="154" t="s">
        <v>2268</v>
      </c>
      <c r="C18" s="155" t="s">
        <v>2274</v>
      </c>
      <c r="D18" s="158" t="s">
        <v>2275</v>
      </c>
      <c r="E18" s="161" t="s">
        <v>2276</v>
      </c>
      <c r="F18" s="164" t="s">
        <v>2236</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2223</v>
      </c>
      <c r="B19" s="154" t="s">
        <v>2268</v>
      </c>
      <c r="C19" s="155" t="s">
        <v>2277</v>
      </c>
      <c r="D19" s="158" t="s">
        <v>2278</v>
      </c>
      <c r="E19" s="161" t="s">
        <v>2279</v>
      </c>
      <c r="F19" s="164" t="s">
        <v>2232</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2223</v>
      </c>
      <c r="B20" s="154" t="s">
        <v>2268</v>
      </c>
      <c r="C20" s="155" t="s">
        <v>2280</v>
      </c>
      <c r="D20" s="158" t="s">
        <v>2281</v>
      </c>
      <c r="E20" s="161" t="s">
        <v>2282</v>
      </c>
      <c r="F20" s="164" t="s">
        <v>2232</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2223</v>
      </c>
      <c r="B21" s="154" t="s">
        <v>2268</v>
      </c>
      <c r="C21" s="155" t="s">
        <v>2283</v>
      </c>
      <c r="D21" s="158" t="s">
        <v>2284</v>
      </c>
      <c r="E21" s="161" t="s">
        <v>2285</v>
      </c>
      <c r="F21" s="164" t="s">
        <v>2236</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2223</v>
      </c>
      <c r="B22" s="154" t="s">
        <v>2268</v>
      </c>
      <c r="C22" s="155" t="s">
        <v>2286</v>
      </c>
      <c r="D22" s="158" t="s">
        <v>2287</v>
      </c>
      <c r="E22" s="161" t="s">
        <v>2288</v>
      </c>
      <c r="F22" s="164" t="s">
        <v>2232</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2223</v>
      </c>
      <c r="B23" s="154" t="s">
        <v>2268</v>
      </c>
      <c r="C23" s="155" t="s">
        <v>2289</v>
      </c>
      <c r="D23" s="158" t="s">
        <v>2290</v>
      </c>
      <c r="E23" s="161" t="s">
        <v>2291</v>
      </c>
      <c r="F23" s="164" t="s">
        <v>2232</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2223</v>
      </c>
      <c r="B24" s="153" t="s">
        <v>2292</v>
      </c>
      <c r="C24" s="151" t="s">
        <v>2293</v>
      </c>
      <c r="D24" s="157" t="s">
        <v>2294</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2223</v>
      </c>
      <c r="B25" s="154" t="s">
        <v>2292</v>
      </c>
      <c r="C25" s="155" t="s">
        <v>2295</v>
      </c>
      <c r="D25" s="158" t="s">
        <v>2296</v>
      </c>
      <c r="E25" s="161" t="s">
        <v>2297</v>
      </c>
      <c r="F25" s="164" t="s">
        <v>2232</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2223</v>
      </c>
      <c r="B26" s="154" t="s">
        <v>2292</v>
      </c>
      <c r="C26" s="155" t="s">
        <v>2298</v>
      </c>
      <c r="D26" s="158" t="s">
        <v>2299</v>
      </c>
      <c r="E26" s="161" t="s">
        <v>2300</v>
      </c>
      <c r="F26" s="164" t="s">
        <v>2232</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2223</v>
      </c>
      <c r="B27" s="154" t="s">
        <v>2292</v>
      </c>
      <c r="C27" s="155" t="s">
        <v>2301</v>
      </c>
      <c r="D27" s="158" t="s">
        <v>2302</v>
      </c>
      <c r="E27" s="161" t="s">
        <v>2303</v>
      </c>
      <c r="F27" s="164" t="s">
        <v>2236</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2223</v>
      </c>
      <c r="B28" s="154" t="s">
        <v>2292</v>
      </c>
      <c r="C28" s="155" t="s">
        <v>2304</v>
      </c>
      <c r="D28" s="158" t="s">
        <v>2305</v>
      </c>
      <c r="E28" s="161" t="s">
        <v>2306</v>
      </c>
      <c r="F28" s="164" t="s">
        <v>2232</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2223</v>
      </c>
      <c r="B29" s="153" t="s">
        <v>2307</v>
      </c>
      <c r="C29" s="151" t="s">
        <v>2308</v>
      </c>
      <c r="D29" s="157" t="s">
        <v>2309</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2223</v>
      </c>
      <c r="B30" s="154" t="s">
        <v>2307</v>
      </c>
      <c r="C30" s="155" t="s">
        <v>2310</v>
      </c>
      <c r="D30" s="158" t="s">
        <v>2311</v>
      </c>
      <c r="E30" s="161" t="s">
        <v>2312</v>
      </c>
      <c r="F30" s="164" t="s">
        <v>2246</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2223</v>
      </c>
      <c r="B31" s="154" t="s">
        <v>2307</v>
      </c>
      <c r="C31" s="155" t="s">
        <v>2313</v>
      </c>
      <c r="D31" s="158" t="s">
        <v>2314</v>
      </c>
      <c r="E31" s="161" t="s">
        <v>2315</v>
      </c>
      <c r="F31" s="164" t="s">
        <v>2246</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2223</v>
      </c>
      <c r="B32" s="154" t="s">
        <v>2307</v>
      </c>
      <c r="C32" s="155" t="s">
        <v>2316</v>
      </c>
      <c r="D32" s="158" t="s">
        <v>2317</v>
      </c>
      <c r="E32" s="161" t="s">
        <v>2318</v>
      </c>
      <c r="F32" s="164" t="s">
        <v>2246</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2223</v>
      </c>
      <c r="B33" s="154" t="s">
        <v>2307</v>
      </c>
      <c r="C33" s="155" t="s">
        <v>2319</v>
      </c>
      <c r="D33" s="158" t="s">
        <v>2320</v>
      </c>
      <c r="E33" s="161" t="s">
        <v>2321</v>
      </c>
      <c r="F33" s="164" t="s">
        <v>2246</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2223</v>
      </c>
      <c r="B34" s="154" t="s">
        <v>2307</v>
      </c>
      <c r="C34" s="155" t="s">
        <v>2322</v>
      </c>
      <c r="D34" s="158" t="s">
        <v>2323</v>
      </c>
      <c r="E34" s="161" t="s">
        <v>2324</v>
      </c>
      <c r="F34" s="164" t="s">
        <v>2246</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2223</v>
      </c>
      <c r="B35" s="154" t="s">
        <v>2307</v>
      </c>
      <c r="C35" s="155" t="s">
        <v>2325</v>
      </c>
      <c r="D35" s="158" t="s">
        <v>2326</v>
      </c>
      <c r="E35" s="161" t="s">
        <v>2327</v>
      </c>
      <c r="F35" s="164" t="s">
        <v>2246</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2223</v>
      </c>
      <c r="B36" s="154" t="s">
        <v>2307</v>
      </c>
      <c r="C36" s="155" t="s">
        <v>2328</v>
      </c>
      <c r="D36" s="158" t="s">
        <v>2329</v>
      </c>
      <c r="E36" s="161" t="s">
        <v>2330</v>
      </c>
      <c r="F36" s="164" t="s">
        <v>2246</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2223</v>
      </c>
      <c r="B37" s="154" t="s">
        <v>2307</v>
      </c>
      <c r="C37" s="155" t="s">
        <v>2331</v>
      </c>
      <c r="D37" s="158" t="s">
        <v>2332</v>
      </c>
      <c r="E37" s="161" t="s">
        <v>2333</v>
      </c>
      <c r="F37" s="164" t="s">
        <v>2246</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2223</v>
      </c>
      <c r="B38" s="154" t="s">
        <v>2307</v>
      </c>
      <c r="C38" s="155" t="s">
        <v>2334</v>
      </c>
      <c r="D38" s="158" t="s">
        <v>2335</v>
      </c>
      <c r="E38" s="161" t="s">
        <v>2336</v>
      </c>
      <c r="F38" s="164" t="s">
        <v>2246</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2223</v>
      </c>
      <c r="B39" s="154" t="s">
        <v>2307</v>
      </c>
      <c r="C39" s="155" t="s">
        <v>2337</v>
      </c>
      <c r="D39" s="158" t="s">
        <v>2338</v>
      </c>
      <c r="E39" s="161" t="s">
        <v>2339</v>
      </c>
      <c r="F39" s="164" t="s">
        <v>2246</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2340</v>
      </c>
      <c r="B40" s="152" t="s">
        <v>21</v>
      </c>
      <c r="C40" s="150" t="s">
        <v>2341</v>
      </c>
      <c r="D40" s="156" t="s">
        <v>2342</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2340</v>
      </c>
      <c r="B41" s="153" t="s">
        <v>2343</v>
      </c>
      <c r="C41" s="151" t="s">
        <v>2344</v>
      </c>
      <c r="D41" s="157" t="s">
        <v>2345</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2340</v>
      </c>
      <c r="B42" s="154" t="s">
        <v>2343</v>
      </c>
      <c r="C42" s="155" t="s">
        <v>2346</v>
      </c>
      <c r="D42" s="158" t="s">
        <v>2347</v>
      </c>
      <c r="E42" s="161" t="s">
        <v>2348</v>
      </c>
      <c r="F42" s="164" t="s">
        <v>2232</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2340</v>
      </c>
      <c r="B43" s="154" t="s">
        <v>2343</v>
      </c>
      <c r="C43" s="155" t="s">
        <v>2349</v>
      </c>
      <c r="D43" s="158" t="s">
        <v>2350</v>
      </c>
      <c r="E43" s="161" t="s">
        <v>2351</v>
      </c>
      <c r="F43" s="164" t="s">
        <v>2232</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2340</v>
      </c>
      <c r="B44" s="154" t="s">
        <v>2343</v>
      </c>
      <c r="C44" s="155" t="s">
        <v>2352</v>
      </c>
      <c r="D44" s="158" t="s">
        <v>2353</v>
      </c>
      <c r="E44" s="161" t="s">
        <v>2354</v>
      </c>
      <c r="F44" s="164" t="s">
        <v>2236</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2340</v>
      </c>
      <c r="B45" s="154" t="s">
        <v>2343</v>
      </c>
      <c r="C45" s="155" t="s">
        <v>2355</v>
      </c>
      <c r="D45" s="158" t="s">
        <v>2356</v>
      </c>
      <c r="E45" s="161" t="s">
        <v>2357</v>
      </c>
      <c r="F45" s="164" t="s">
        <v>2246</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2340</v>
      </c>
      <c r="B46" s="154" t="s">
        <v>2343</v>
      </c>
      <c r="C46" s="155" t="s">
        <v>2358</v>
      </c>
      <c r="D46" s="158" t="s">
        <v>2359</v>
      </c>
      <c r="E46" s="161" t="s">
        <v>2360</v>
      </c>
      <c r="F46" s="164" t="s">
        <v>2232</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2340</v>
      </c>
      <c r="B47" s="154" t="s">
        <v>2343</v>
      </c>
      <c r="C47" s="155" t="s">
        <v>2361</v>
      </c>
      <c r="D47" s="158" t="s">
        <v>2362</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2340</v>
      </c>
      <c r="B48" s="154" t="s">
        <v>2343</v>
      </c>
      <c r="C48" s="155" t="s">
        <v>2363</v>
      </c>
      <c r="D48" s="158" t="s">
        <v>2364</v>
      </c>
      <c r="E48" s="161" t="s">
        <v>2365</v>
      </c>
      <c r="F48" s="164" t="s">
        <v>2232</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2340</v>
      </c>
      <c r="B49" s="154" t="s">
        <v>2343</v>
      </c>
      <c r="C49" s="155" t="s">
        <v>2366</v>
      </c>
      <c r="D49" s="158" t="s">
        <v>2367</v>
      </c>
      <c r="E49" s="161" t="s">
        <v>2368</v>
      </c>
      <c r="F49" s="164" t="s">
        <v>2236</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2340</v>
      </c>
      <c r="B50" s="153" t="s">
        <v>2369</v>
      </c>
      <c r="C50" s="151" t="s">
        <v>2370</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2340</v>
      </c>
      <c r="B51" s="154" t="s">
        <v>2369</v>
      </c>
      <c r="C51" s="155" t="s">
        <v>2371</v>
      </c>
      <c r="D51" s="158" t="s">
        <v>2372</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2340</v>
      </c>
      <c r="B52" s="154" t="s">
        <v>2369</v>
      </c>
      <c r="C52" s="155" t="s">
        <v>2373</v>
      </c>
      <c r="D52" s="158" t="s">
        <v>2374</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2340</v>
      </c>
      <c r="B53" s="154" t="s">
        <v>2369</v>
      </c>
      <c r="C53" s="155" t="s">
        <v>2375</v>
      </c>
      <c r="D53" s="158" t="s">
        <v>2376</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2340</v>
      </c>
      <c r="B54" s="154" t="s">
        <v>2369</v>
      </c>
      <c r="C54" s="155" t="s">
        <v>2377</v>
      </c>
      <c r="D54" s="158" t="s">
        <v>2378</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2340</v>
      </c>
      <c r="B55" s="154" t="s">
        <v>2369</v>
      </c>
      <c r="C55" s="155" t="s">
        <v>2379</v>
      </c>
      <c r="D55" s="158" t="s">
        <v>2380</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2340</v>
      </c>
      <c r="B56" s="153" t="s">
        <v>494</v>
      </c>
      <c r="C56" s="151" t="s">
        <v>2381</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2340</v>
      </c>
      <c r="B57" s="154" t="s">
        <v>494</v>
      </c>
      <c r="C57" s="155" t="s">
        <v>2382</v>
      </c>
      <c r="D57" s="158" t="s">
        <v>2383</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2340</v>
      </c>
      <c r="B58" s="154" t="s">
        <v>494</v>
      </c>
      <c r="C58" s="155" t="s">
        <v>2384</v>
      </c>
      <c r="D58" s="158" t="s">
        <v>2385</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2340</v>
      </c>
      <c r="B59" s="154" t="s">
        <v>494</v>
      </c>
      <c r="C59" s="155" t="s">
        <v>2386</v>
      </c>
      <c r="D59" s="158" t="s">
        <v>2387</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2340</v>
      </c>
      <c r="B60" s="154" t="s">
        <v>494</v>
      </c>
      <c r="C60" s="155" t="s">
        <v>2388</v>
      </c>
      <c r="D60" s="158" t="s">
        <v>2389</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2340</v>
      </c>
      <c r="B61" s="153" t="s">
        <v>2390</v>
      </c>
      <c r="C61" s="151" t="s">
        <v>2391</v>
      </c>
      <c r="D61" s="157" t="s">
        <v>2392</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2340</v>
      </c>
      <c r="B62" s="154" t="s">
        <v>2390</v>
      </c>
      <c r="C62" s="155" t="s">
        <v>2393</v>
      </c>
      <c r="D62" s="158" t="s">
        <v>2394</v>
      </c>
      <c r="E62" s="161" t="s">
        <v>2395</v>
      </c>
      <c r="F62" s="164" t="s">
        <v>2232</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2340</v>
      </c>
      <c r="B63" s="154" t="s">
        <v>2390</v>
      </c>
      <c r="C63" s="155" t="s">
        <v>2396</v>
      </c>
      <c r="D63" s="158" t="s">
        <v>2397</v>
      </c>
      <c r="E63" s="161" t="s">
        <v>2398</v>
      </c>
      <c r="F63" s="164" t="s">
        <v>2236</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2340</v>
      </c>
      <c r="B64" s="154" t="s">
        <v>2390</v>
      </c>
      <c r="C64" s="155" t="s">
        <v>2399</v>
      </c>
      <c r="D64" s="158" t="s">
        <v>2400</v>
      </c>
      <c r="E64" s="161" t="s">
        <v>2401</v>
      </c>
      <c r="F64" s="164" t="s">
        <v>2232</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2340</v>
      </c>
      <c r="B65" s="154" t="s">
        <v>2390</v>
      </c>
      <c r="C65" s="155" t="s">
        <v>2402</v>
      </c>
      <c r="D65" s="158" t="s">
        <v>2403</v>
      </c>
      <c r="E65" s="161" t="s">
        <v>2404</v>
      </c>
      <c r="F65" s="164" t="s">
        <v>2232</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2340</v>
      </c>
      <c r="B66" s="153" t="s">
        <v>1998</v>
      </c>
      <c r="C66" s="151" t="s">
        <v>2405</v>
      </c>
      <c r="D66" s="157" t="s">
        <v>2406</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2340</v>
      </c>
      <c r="B67" s="154" t="s">
        <v>1998</v>
      </c>
      <c r="C67" s="155" t="s">
        <v>2407</v>
      </c>
      <c r="D67" s="158" t="s">
        <v>2408</v>
      </c>
      <c r="E67" s="161" t="s">
        <v>2409</v>
      </c>
      <c r="F67" s="164" t="s">
        <v>2232</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2340</v>
      </c>
      <c r="B68" s="154" t="s">
        <v>1998</v>
      </c>
      <c r="C68" s="155" t="s">
        <v>2410</v>
      </c>
      <c r="D68" s="158" t="s">
        <v>2411</v>
      </c>
      <c r="E68" s="161" t="s">
        <v>2412</v>
      </c>
      <c r="F68" s="164" t="s">
        <v>2232</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2340</v>
      </c>
      <c r="B69" s="154" t="s">
        <v>1998</v>
      </c>
      <c r="C69" s="155" t="s">
        <v>2413</v>
      </c>
      <c r="D69" s="158" t="s">
        <v>2414</v>
      </c>
      <c r="E69" s="161" t="s">
        <v>2415</v>
      </c>
      <c r="F69" s="164" t="s">
        <v>2236</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2340</v>
      </c>
      <c r="B70" s="154" t="s">
        <v>1998</v>
      </c>
      <c r="C70" s="155" t="s">
        <v>2416</v>
      </c>
      <c r="D70" s="158" t="s">
        <v>2417</v>
      </c>
      <c r="E70" s="161" t="s">
        <v>2418</v>
      </c>
      <c r="F70" s="164" t="s">
        <v>2232</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2340</v>
      </c>
      <c r="B71" s="154" t="s">
        <v>1998</v>
      </c>
      <c r="C71" s="155" t="s">
        <v>2419</v>
      </c>
      <c r="D71" s="158" t="s">
        <v>2420</v>
      </c>
      <c r="E71" s="161" t="s">
        <v>2421</v>
      </c>
      <c r="F71" s="164" t="s">
        <v>2232</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2340</v>
      </c>
      <c r="B72" s="154" t="s">
        <v>1998</v>
      </c>
      <c r="C72" s="155" t="s">
        <v>2422</v>
      </c>
      <c r="D72" s="158" t="s">
        <v>2423</v>
      </c>
      <c r="E72" s="161" t="s">
        <v>2424</v>
      </c>
      <c r="F72" s="164" t="s">
        <v>2232</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2340</v>
      </c>
      <c r="B73" s="154" t="s">
        <v>1998</v>
      </c>
      <c r="C73" s="155" t="s">
        <v>2425</v>
      </c>
      <c r="D73" s="158" t="s">
        <v>2426</v>
      </c>
      <c r="E73" s="161" t="s">
        <v>2427</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2340</v>
      </c>
      <c r="B74" s="154" t="s">
        <v>1998</v>
      </c>
      <c r="C74" s="155" t="s">
        <v>2428</v>
      </c>
      <c r="D74" s="158" t="s">
        <v>2429</v>
      </c>
      <c r="E74" s="161" t="s">
        <v>2430</v>
      </c>
      <c r="F74" s="164" t="s">
        <v>2236</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2340</v>
      </c>
      <c r="B75" s="154" t="s">
        <v>1998</v>
      </c>
      <c r="C75" s="155" t="s">
        <v>2431</v>
      </c>
      <c r="D75" s="158" t="s">
        <v>2432</v>
      </c>
      <c r="E75" s="161" t="s">
        <v>2433</v>
      </c>
      <c r="F75" s="164" t="s">
        <v>2246</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2340</v>
      </c>
      <c r="B76" s="154" t="s">
        <v>1998</v>
      </c>
      <c r="C76" s="155" t="s">
        <v>2434</v>
      </c>
      <c r="D76" s="158" t="s">
        <v>2435</v>
      </c>
      <c r="E76" s="161" t="s">
        <v>2436</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2340</v>
      </c>
      <c r="B77" s="153" t="s">
        <v>2268</v>
      </c>
      <c r="C77" s="151" t="s">
        <v>2437</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2340</v>
      </c>
      <c r="B78" s="154" t="s">
        <v>2268</v>
      </c>
      <c r="C78" s="155" t="s">
        <v>2438</v>
      </c>
      <c r="D78" s="158" t="s">
        <v>2439</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2340</v>
      </c>
      <c r="B79" s="154" t="s">
        <v>2268</v>
      </c>
      <c r="C79" s="155" t="s">
        <v>2440</v>
      </c>
      <c r="D79" s="158" t="s">
        <v>2441</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2340</v>
      </c>
      <c r="B80" s="154" t="s">
        <v>2268</v>
      </c>
      <c r="C80" s="155" t="s">
        <v>2442</v>
      </c>
      <c r="D80" s="158" t="s">
        <v>2443</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2340</v>
      </c>
      <c r="B81" s="153" t="s">
        <v>2196</v>
      </c>
      <c r="C81" s="151" t="s">
        <v>2444</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2340</v>
      </c>
      <c r="B82" s="154" t="s">
        <v>2196</v>
      </c>
      <c r="C82" s="155" t="s">
        <v>2445</v>
      </c>
      <c r="D82" s="158" t="s">
        <v>2446</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2340</v>
      </c>
      <c r="B83" s="154" t="s">
        <v>2196</v>
      </c>
      <c r="C83" s="155" t="s">
        <v>2447</v>
      </c>
      <c r="D83" s="158" t="s">
        <v>2448</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2340</v>
      </c>
      <c r="B84" s="154" t="s">
        <v>2196</v>
      </c>
      <c r="C84" s="155" t="s">
        <v>2449</v>
      </c>
      <c r="D84" s="158" t="s">
        <v>2450</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2340</v>
      </c>
      <c r="B85" s="154" t="s">
        <v>2196</v>
      </c>
      <c r="C85" s="155" t="s">
        <v>2451</v>
      </c>
      <c r="D85" s="158" t="s">
        <v>2452</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2340</v>
      </c>
      <c r="B86" s="154" t="s">
        <v>2196</v>
      </c>
      <c r="C86" s="155" t="s">
        <v>2453</v>
      </c>
      <c r="D86" s="158" t="s">
        <v>2454</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2455</v>
      </c>
      <c r="B87" s="152" t="s">
        <v>21</v>
      </c>
      <c r="C87" s="150" t="s">
        <v>2456</v>
      </c>
      <c r="D87" s="156" t="s">
        <v>2457</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2455</v>
      </c>
      <c r="B88" s="153" t="s">
        <v>2458</v>
      </c>
      <c r="C88" s="151" t="s">
        <v>2459</v>
      </c>
      <c r="D88" s="157" t="s">
        <v>2460</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2455</v>
      </c>
      <c r="B89" s="154" t="s">
        <v>2458</v>
      </c>
      <c r="C89" s="155" t="s">
        <v>2461</v>
      </c>
      <c r="D89" s="158" t="s">
        <v>2462</v>
      </c>
      <c r="E89" s="161" t="s">
        <v>2463</v>
      </c>
      <c r="F89" s="164" t="s">
        <v>2232</v>
      </c>
      <c r="G89" s="167">
        <f>IF(COUNTIF(H89:AU89,"&lt;&gt;")=0,"",SUMPRODUCT(((Recommendations[ImplStatus]="Implemented")+(Recommendations[ImplStatus]="Compensated"))*ISNUMBER(MATCH(Recommendations[Id],H89:AU89,0)))/COUNTIF(H89:AU89,"&lt;&gt;"))</f>
        <v>0</v>
      </c>
      <c r="H89" s="170" t="s">
        <v>31</v>
      </c>
      <c r="I89" s="170" t="s">
        <v>46</v>
      </c>
      <c r="J89" s="170" t="s">
        <v>61</v>
      </c>
      <c r="K89" s="170" t="s">
        <v>66</v>
      </c>
      <c r="L89" s="170" t="s">
        <v>71</v>
      </c>
      <c r="M89" s="170" t="s">
        <v>76</v>
      </c>
      <c r="N89" s="170" t="s">
        <v>80</v>
      </c>
      <c r="O89" s="170" t="s">
        <v>84</v>
      </c>
      <c r="P89" s="170" t="s">
        <v>212</v>
      </c>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2455</v>
      </c>
      <c r="B90" s="154" t="s">
        <v>2458</v>
      </c>
      <c r="C90" s="155" t="s">
        <v>2464</v>
      </c>
      <c r="D90" s="158" t="s">
        <v>2465</v>
      </c>
      <c r="E90" s="161" t="s">
        <v>2466</v>
      </c>
      <c r="F90" s="164" t="s">
        <v>2236</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2455</v>
      </c>
      <c r="B91" s="154" t="s">
        <v>2458</v>
      </c>
      <c r="C91" s="155" t="s">
        <v>2467</v>
      </c>
      <c r="D91" s="158" t="s">
        <v>2468</v>
      </c>
      <c r="E91" s="161" t="s">
        <v>2469</v>
      </c>
      <c r="F91" s="164" t="s">
        <v>2232</v>
      </c>
      <c r="G91" s="167">
        <f>IF(COUNTIF(H91:AU91,"&lt;&gt;")=0,"",SUMPRODUCT(((Recommendations[ImplStatus]="Implemented")+(Recommendations[ImplStatus]="Compensated"))*ISNUMBER(MATCH(Recommendations[Id],H91:AU91,0)))/COUNTIF(H91:AU91,"&lt;&gt;"))</f>
        <v>0</v>
      </c>
      <c r="H91" s="170" t="s">
        <v>46</v>
      </c>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2455</v>
      </c>
      <c r="B92" s="154" t="s">
        <v>2458</v>
      </c>
      <c r="C92" s="155" t="s">
        <v>2470</v>
      </c>
      <c r="D92" s="158" t="s">
        <v>2471</v>
      </c>
      <c r="E92" s="161" t="s">
        <v>2472</v>
      </c>
      <c r="F92" s="164" t="s">
        <v>2232</v>
      </c>
      <c r="G92" s="167">
        <f>IF(COUNTIF(H92:AU92,"&lt;&gt;")=0,"",SUMPRODUCT(((Recommendations[ImplStatus]="Implemented")+(Recommendations[ImplStatus]="Compensated"))*ISNUMBER(MATCH(Recommendations[Id],H92:AU92,0)))/COUNTIF(H92:AU92,"&lt;&gt;"))</f>
        <v>0</v>
      </c>
      <c r="H92" s="170" t="s">
        <v>125</v>
      </c>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2455</v>
      </c>
      <c r="B93" s="154" t="s">
        <v>2458</v>
      </c>
      <c r="C93" s="155" t="s">
        <v>2473</v>
      </c>
      <c r="D93" s="158" t="s">
        <v>2474</v>
      </c>
      <c r="E93" s="161" t="s">
        <v>2475</v>
      </c>
      <c r="F93" s="164" t="s">
        <v>2232</v>
      </c>
      <c r="G93" s="167">
        <f>IF(COUNTIF(H93:AU93,"&lt;&gt;")=0,"",SUMPRODUCT(((Recommendations[ImplStatus]="Implemented")+(Recommendations[ImplStatus]="Compensated"))*ISNUMBER(MATCH(Recommendations[Id],H93:AU93,0)))/COUNTIF(H93:AU93,"&lt;&gt;"))</f>
        <v>0</v>
      </c>
      <c r="H93" s="170" t="s">
        <v>25</v>
      </c>
      <c r="I93" s="170" t="s">
        <v>51</v>
      </c>
      <c r="J93" s="170" t="s">
        <v>89</v>
      </c>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2455</v>
      </c>
      <c r="B94" s="154" t="s">
        <v>2458</v>
      </c>
      <c r="C94" s="155" t="s">
        <v>2476</v>
      </c>
      <c r="D94" s="158" t="s">
        <v>2477</v>
      </c>
      <c r="E94" s="161" t="s">
        <v>2478</v>
      </c>
      <c r="F94" s="164" t="s">
        <v>2236</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2455</v>
      </c>
      <c r="B95" s="153" t="s">
        <v>2479</v>
      </c>
      <c r="C95" s="151" t="s">
        <v>2480</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2455</v>
      </c>
      <c r="B96" s="154" t="s">
        <v>2479</v>
      </c>
      <c r="C96" s="155" t="s">
        <v>2481</v>
      </c>
      <c r="D96" s="158" t="s">
        <v>2482</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2455</v>
      </c>
      <c r="B97" s="154" t="s">
        <v>2479</v>
      </c>
      <c r="C97" s="155" t="s">
        <v>2483</v>
      </c>
      <c r="D97" s="158" t="s">
        <v>2484</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2455</v>
      </c>
      <c r="B98" s="154" t="s">
        <v>2479</v>
      </c>
      <c r="C98" s="155" t="s">
        <v>2485</v>
      </c>
      <c r="D98" s="158" t="s">
        <v>2486</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2455</v>
      </c>
      <c r="B99" s="154" t="s">
        <v>2479</v>
      </c>
      <c r="C99" s="155" t="s">
        <v>2487</v>
      </c>
      <c r="D99" s="158" t="s">
        <v>2488</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2455</v>
      </c>
      <c r="B100" s="154" t="s">
        <v>2479</v>
      </c>
      <c r="C100" s="155" t="s">
        <v>2489</v>
      </c>
      <c r="D100" s="158" t="s">
        <v>2490</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2455</v>
      </c>
      <c r="B101" s="154" t="s">
        <v>2479</v>
      </c>
      <c r="C101" s="155" t="s">
        <v>2491</v>
      </c>
      <c r="D101" s="158" t="s">
        <v>2492</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2455</v>
      </c>
      <c r="B102" s="154" t="s">
        <v>2479</v>
      </c>
      <c r="C102" s="155" t="s">
        <v>2493</v>
      </c>
      <c r="D102" s="158" t="s">
        <v>2494</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2455</v>
      </c>
      <c r="B103" s="153" t="s">
        <v>1639</v>
      </c>
      <c r="C103" s="151" t="s">
        <v>2495</v>
      </c>
      <c r="D103" s="157" t="s">
        <v>2496</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2455</v>
      </c>
      <c r="B104" s="154" t="s">
        <v>1639</v>
      </c>
      <c r="C104" s="155" t="s">
        <v>2497</v>
      </c>
      <c r="D104" s="158" t="s">
        <v>2498</v>
      </c>
      <c r="E104" s="161" t="s">
        <v>2499</v>
      </c>
      <c r="F104" s="164" t="s">
        <v>2232</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2455</v>
      </c>
      <c r="B105" s="154" t="s">
        <v>1639</v>
      </c>
      <c r="C105" s="155" t="s">
        <v>2500</v>
      </c>
      <c r="D105" s="158" t="s">
        <v>2501</v>
      </c>
      <c r="E105" s="161" t="s">
        <v>2502</v>
      </c>
      <c r="F105" s="164" t="s">
        <v>2236</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2455</v>
      </c>
      <c r="B106" s="154" t="s">
        <v>1639</v>
      </c>
      <c r="C106" s="155" t="s">
        <v>2503</v>
      </c>
      <c r="D106" s="158" t="s">
        <v>2504</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2455</v>
      </c>
      <c r="B107" s="154" t="s">
        <v>1639</v>
      </c>
      <c r="C107" s="155" t="s">
        <v>2505</v>
      </c>
      <c r="D107" s="158" t="s">
        <v>2506</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2455</v>
      </c>
      <c r="B108" s="154" t="s">
        <v>1639</v>
      </c>
      <c r="C108" s="155" t="s">
        <v>2507</v>
      </c>
      <c r="D108" s="158" t="s">
        <v>2508</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2455</v>
      </c>
      <c r="B109" s="153" t="s">
        <v>2509</v>
      </c>
      <c r="C109" s="151" t="s">
        <v>2510</v>
      </c>
      <c r="D109" s="157" t="s">
        <v>2511</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2455</v>
      </c>
      <c r="B110" s="154" t="s">
        <v>2509</v>
      </c>
      <c r="C110" s="155" t="s">
        <v>2512</v>
      </c>
      <c r="D110" s="158" t="s">
        <v>2513</v>
      </c>
      <c r="E110" s="161" t="s">
        <v>2514</v>
      </c>
      <c r="F110" s="164" t="s">
        <v>2232</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2455</v>
      </c>
      <c r="B111" s="154" t="s">
        <v>2509</v>
      </c>
      <c r="C111" s="155" t="s">
        <v>2515</v>
      </c>
      <c r="D111" s="158" t="s">
        <v>2516</v>
      </c>
      <c r="E111" s="161" t="s">
        <v>2517</v>
      </c>
      <c r="F111" s="164" t="s">
        <v>2232</v>
      </c>
      <c r="G111" s="167">
        <f>IF(COUNTIF(H111:AU111,"&lt;&gt;")=0,"",SUMPRODUCT(((Recommendations[ImplStatus]="Implemented")+(Recommendations[ImplStatus]="Compensated"))*ISNUMBER(MATCH(Recommendations[Id],H111:AU111,0)))/COUNTIF(H111:AU111,"&lt;&gt;"))</f>
        <v>0</v>
      </c>
      <c r="H111" s="170" t="s">
        <v>56</v>
      </c>
      <c r="I111" s="170" t="s">
        <v>145</v>
      </c>
      <c r="J111" s="170" t="s">
        <v>197</v>
      </c>
      <c r="K111" s="170" t="s">
        <v>207</v>
      </c>
      <c r="L111" s="170" t="s">
        <v>232</v>
      </c>
      <c r="M111" s="170" t="s">
        <v>255</v>
      </c>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2455</v>
      </c>
      <c r="B112" s="154" t="s">
        <v>2509</v>
      </c>
      <c r="C112" s="155" t="s">
        <v>2518</v>
      </c>
      <c r="D112" s="158" t="s">
        <v>2519</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2455</v>
      </c>
      <c r="B113" s="154" t="s">
        <v>2509</v>
      </c>
      <c r="C113" s="155" t="s">
        <v>2520</v>
      </c>
      <c r="D113" s="158" t="s">
        <v>2521</v>
      </c>
      <c r="E113" s="161"/>
      <c r="F113" s="164" t="s">
        <v>21</v>
      </c>
      <c r="G113" s="167">
        <f>IF(COUNTIF(H113:AU113,"&lt;&gt;")=0,"",SUMPRODUCT(((Recommendations[ImplStatus]="Implemented")+(Recommendations[ImplStatus]="Compensated"))*ISNUMBER(MATCH(Recommendations[Id],H113:AU113,0)))/COUNTIF(H113:AU113,"&lt;&gt;"))</f>
        <v>0</v>
      </c>
      <c r="H113" s="170" t="s">
        <v>104</v>
      </c>
      <c r="I113" s="170" t="s">
        <v>166</v>
      </c>
      <c r="J113" s="170" t="s">
        <v>265</v>
      </c>
      <c r="K113" s="170" t="s">
        <v>309</v>
      </c>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2455</v>
      </c>
      <c r="B114" s="154" t="s">
        <v>2509</v>
      </c>
      <c r="C114" s="155" t="s">
        <v>2522</v>
      </c>
      <c r="D114" s="158" t="s">
        <v>2523</v>
      </c>
      <c r="E114" s="161"/>
      <c r="F114" s="164" t="s">
        <v>21</v>
      </c>
      <c r="G114" s="167">
        <f>IF(COUNTIF(H114:AU114,"&lt;&gt;")=0,"",SUMPRODUCT(((Recommendations[ImplStatus]="Implemented")+(Recommendations[ImplStatus]="Compensated"))*ISNUMBER(MATCH(Recommendations[Id],H114:AU114,0)))/COUNTIF(H114:AU114,"&lt;&gt;"))</f>
        <v>0</v>
      </c>
      <c r="H114" s="170" t="s">
        <v>114</v>
      </c>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2455</v>
      </c>
      <c r="B115" s="154" t="s">
        <v>2509</v>
      </c>
      <c r="C115" s="155" t="s">
        <v>2524</v>
      </c>
      <c r="D115" s="158" t="s">
        <v>2525</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2455</v>
      </c>
      <c r="B116" s="154" t="s">
        <v>2509</v>
      </c>
      <c r="C116" s="155" t="s">
        <v>2526</v>
      </c>
      <c r="D116" s="158" t="s">
        <v>2527</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2455</v>
      </c>
      <c r="B117" s="154" t="s">
        <v>2509</v>
      </c>
      <c r="C117" s="155" t="s">
        <v>2528</v>
      </c>
      <c r="D117" s="158" t="s">
        <v>2529</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2455</v>
      </c>
      <c r="B118" s="154" t="s">
        <v>2509</v>
      </c>
      <c r="C118" s="155" t="s">
        <v>2530</v>
      </c>
      <c r="D118" s="158" t="s">
        <v>2531</v>
      </c>
      <c r="E118" s="161" t="s">
        <v>2532</v>
      </c>
      <c r="F118" s="164" t="s">
        <v>2232</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2455</v>
      </c>
      <c r="B119" s="154" t="s">
        <v>2509</v>
      </c>
      <c r="C119" s="155" t="s">
        <v>2533</v>
      </c>
      <c r="D119" s="158" t="s">
        <v>2534</v>
      </c>
      <c r="E119" s="161" t="s">
        <v>2535</v>
      </c>
      <c r="F119" s="164" t="s">
        <v>2232</v>
      </c>
      <c r="G119" s="167">
        <f>IF(COUNTIF(H119:AU119,"&lt;&gt;")=0,"",SUMPRODUCT(((Recommendations[ImplStatus]="Implemented")+(Recommendations[ImplStatus]="Compensated"))*ISNUMBER(MATCH(Recommendations[Id],H119:AU119,0)))/COUNTIF(H119:AU119,"&lt;&gt;"))</f>
        <v>0</v>
      </c>
      <c r="H119" s="170" t="s">
        <v>120</v>
      </c>
      <c r="I119" s="170" t="s">
        <v>150</v>
      </c>
      <c r="J119" s="170" t="s">
        <v>155</v>
      </c>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2455</v>
      </c>
      <c r="B120" s="153" t="s">
        <v>2536</v>
      </c>
      <c r="C120" s="151" t="s">
        <v>2537</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2455</v>
      </c>
      <c r="B121" s="154" t="s">
        <v>2536</v>
      </c>
      <c r="C121" s="155" t="s">
        <v>2538</v>
      </c>
      <c r="D121" s="158" t="s">
        <v>2539</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2455</v>
      </c>
      <c r="B122" s="154" t="s">
        <v>2536</v>
      </c>
      <c r="C122" s="155" t="s">
        <v>2540</v>
      </c>
      <c r="D122" s="158" t="s">
        <v>2541</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2455</v>
      </c>
      <c r="B123" s="154" t="s">
        <v>2536</v>
      </c>
      <c r="C123" s="155" t="s">
        <v>2542</v>
      </c>
      <c r="D123" s="158" t="s">
        <v>2543</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2455</v>
      </c>
      <c r="B124" s="154" t="s">
        <v>2536</v>
      </c>
      <c r="C124" s="155" t="s">
        <v>2544</v>
      </c>
      <c r="D124" s="158" t="s">
        <v>2545</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2455</v>
      </c>
      <c r="B125" s="154" t="s">
        <v>2536</v>
      </c>
      <c r="C125" s="155" t="s">
        <v>2546</v>
      </c>
      <c r="D125" s="158" t="s">
        <v>2547</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2455</v>
      </c>
      <c r="B126" s="154" t="s">
        <v>2536</v>
      </c>
      <c r="C126" s="155" t="s">
        <v>2548</v>
      </c>
      <c r="D126" s="158" t="s">
        <v>2549</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2455</v>
      </c>
      <c r="B127" s="154" t="s">
        <v>2536</v>
      </c>
      <c r="C127" s="155" t="s">
        <v>2550</v>
      </c>
      <c r="D127" s="158" t="s">
        <v>2551</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2455</v>
      </c>
      <c r="B128" s="154" t="s">
        <v>2536</v>
      </c>
      <c r="C128" s="155" t="s">
        <v>2552</v>
      </c>
      <c r="D128" s="158" t="s">
        <v>2553</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2455</v>
      </c>
      <c r="B129" s="154" t="s">
        <v>2536</v>
      </c>
      <c r="C129" s="155" t="s">
        <v>2554</v>
      </c>
      <c r="D129" s="158" t="s">
        <v>2555</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2455</v>
      </c>
      <c r="B130" s="154" t="s">
        <v>2536</v>
      </c>
      <c r="C130" s="155" t="s">
        <v>2556</v>
      </c>
      <c r="D130" s="158" t="s">
        <v>2557</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2455</v>
      </c>
      <c r="B131" s="154" t="s">
        <v>2536</v>
      </c>
      <c r="C131" s="155" t="s">
        <v>2558</v>
      </c>
      <c r="D131" s="158" t="s">
        <v>2559</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2455</v>
      </c>
      <c r="B132" s="154" t="s">
        <v>2536</v>
      </c>
      <c r="C132" s="155" t="s">
        <v>2560</v>
      </c>
      <c r="D132" s="158" t="s">
        <v>2561</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2455</v>
      </c>
      <c r="B133" s="153" t="s">
        <v>2562</v>
      </c>
      <c r="C133" s="151" t="s">
        <v>2563</v>
      </c>
      <c r="D133" s="157" t="s">
        <v>2564</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2455</v>
      </c>
      <c r="B134" s="154" t="s">
        <v>2562</v>
      </c>
      <c r="C134" s="155" t="s">
        <v>2565</v>
      </c>
      <c r="D134" s="158" t="s">
        <v>2566</v>
      </c>
      <c r="E134" s="161" t="s">
        <v>2567</v>
      </c>
      <c r="F134" s="164" t="s">
        <v>2236</v>
      </c>
      <c r="G134" s="167">
        <f>IF(COUNTIF(H134:AU134,"&lt;&gt;")=0,"",SUMPRODUCT(((Recommendations[ImplStatus]="Implemented")+(Recommendations[ImplStatus]="Compensated"))*ISNUMBER(MATCH(Recommendations[Id],H134:AU134,0)))/COUNTIF(H134:AU134,"&lt;&gt;"))</f>
        <v>0</v>
      </c>
      <c r="H134" s="170" t="s">
        <v>171</v>
      </c>
      <c r="I134" s="170" t="s">
        <v>202</v>
      </c>
      <c r="J134" s="170" t="s">
        <v>270</v>
      </c>
      <c r="K134" s="170" t="s">
        <v>314</v>
      </c>
      <c r="L134" s="170" t="s">
        <v>324</v>
      </c>
      <c r="M134" s="170" t="s">
        <v>329</v>
      </c>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2455</v>
      </c>
      <c r="B135" s="154" t="s">
        <v>2562</v>
      </c>
      <c r="C135" s="155" t="s">
        <v>2568</v>
      </c>
      <c r="D135" s="158" t="s">
        <v>2569</v>
      </c>
      <c r="E135" s="161" t="s">
        <v>2570</v>
      </c>
      <c r="F135" s="164" t="s">
        <v>2236</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2455</v>
      </c>
      <c r="B136" s="154" t="s">
        <v>2562</v>
      </c>
      <c r="C136" s="155" t="s">
        <v>2571</v>
      </c>
      <c r="D136" s="158" t="s">
        <v>2572</v>
      </c>
      <c r="E136" s="161" t="s">
        <v>2573</v>
      </c>
      <c r="F136" s="164" t="s">
        <v>2232</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2455</v>
      </c>
      <c r="B137" s="154" t="s">
        <v>2562</v>
      </c>
      <c r="C137" s="155" t="s">
        <v>2574</v>
      </c>
      <c r="D137" s="158" t="s">
        <v>2575</v>
      </c>
      <c r="E137" s="161" t="s">
        <v>2576</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2455</v>
      </c>
      <c r="B138" s="153" t="s">
        <v>1872</v>
      </c>
      <c r="C138" s="151" t="s">
        <v>2577</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2455</v>
      </c>
      <c r="B139" s="154" t="s">
        <v>1872</v>
      </c>
      <c r="C139" s="155" t="s">
        <v>2578</v>
      </c>
      <c r="D139" s="158" t="s">
        <v>2579</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2455</v>
      </c>
      <c r="B140" s="154" t="s">
        <v>1872</v>
      </c>
      <c r="C140" s="155" t="s">
        <v>2580</v>
      </c>
      <c r="D140" s="158" t="s">
        <v>2581</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2455</v>
      </c>
      <c r="B141" s="153" t="s">
        <v>2582</v>
      </c>
      <c r="C141" s="151" t="s">
        <v>2583</v>
      </c>
      <c r="D141" s="157" t="s">
        <v>2584</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2455</v>
      </c>
      <c r="B142" s="154" t="s">
        <v>2582</v>
      </c>
      <c r="C142" s="155" t="s">
        <v>2585</v>
      </c>
      <c r="D142" s="158" t="s">
        <v>2586</v>
      </c>
      <c r="E142" s="161" t="s">
        <v>2587</v>
      </c>
      <c r="F142" s="164" t="s">
        <v>2232</v>
      </c>
      <c r="G142" s="167">
        <f>IF(COUNTIF(H142:AU142,"&lt;&gt;")=0,"",SUMPRODUCT(((Recommendations[ImplStatus]="Implemented")+(Recommendations[ImplStatus]="Compensated"))*ISNUMBER(MATCH(Recommendations[Id],H142:AU142,0)))/COUNTIF(H142:AU142,"&lt;&gt;"))</f>
        <v>0</v>
      </c>
      <c r="H142" s="170" t="s">
        <v>135</v>
      </c>
      <c r="I142" s="170" t="s">
        <v>140</v>
      </c>
      <c r="J142" s="170" t="s">
        <v>181</v>
      </c>
      <c r="K142" s="170" t="s">
        <v>187</v>
      </c>
      <c r="L142" s="170" t="s">
        <v>192</v>
      </c>
      <c r="M142" s="170" t="s">
        <v>217</v>
      </c>
      <c r="N142" s="170" t="s">
        <v>222</v>
      </c>
      <c r="O142" s="170" t="s">
        <v>227</v>
      </c>
      <c r="P142" s="170" t="s">
        <v>237</v>
      </c>
      <c r="Q142" s="170" t="s">
        <v>242</v>
      </c>
      <c r="R142" s="170" t="s">
        <v>247</v>
      </c>
      <c r="S142" s="170" t="s">
        <v>251</v>
      </c>
      <c r="T142" s="170" t="s">
        <v>285</v>
      </c>
      <c r="U142" s="170" t="s">
        <v>290</v>
      </c>
      <c r="V142" s="170" t="s">
        <v>294</v>
      </c>
      <c r="W142" s="170" t="s">
        <v>299</v>
      </c>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2455</v>
      </c>
      <c r="B143" s="154" t="s">
        <v>2582</v>
      </c>
      <c r="C143" s="155" t="s">
        <v>2588</v>
      </c>
      <c r="D143" s="158" t="s">
        <v>2589</v>
      </c>
      <c r="E143" s="161" t="s">
        <v>2590</v>
      </c>
      <c r="F143" s="164" t="s">
        <v>2232</v>
      </c>
      <c r="G143" s="167">
        <f>IF(COUNTIF(H143:AU143,"&lt;&gt;")=0,"",SUMPRODUCT(((Recommendations[ImplStatus]="Implemented")+(Recommendations[ImplStatus]="Compensated"))*ISNUMBER(MATCH(Recommendations[Id],H143:AU143,0)))/COUNTIF(H143:AU143,"&lt;&gt;"))</f>
        <v>0</v>
      </c>
      <c r="H143" s="170" t="s">
        <v>130</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2455</v>
      </c>
      <c r="B144" s="154" t="s">
        <v>2582</v>
      </c>
      <c r="C144" s="155" t="s">
        <v>2591</v>
      </c>
      <c r="D144" s="158" t="s">
        <v>2592</v>
      </c>
      <c r="E144" s="161" t="s">
        <v>2593</v>
      </c>
      <c r="F144" s="164" t="s">
        <v>2236</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2455</v>
      </c>
      <c r="B145" s="154" t="s">
        <v>2582</v>
      </c>
      <c r="C145" s="155" t="s">
        <v>2594</v>
      </c>
      <c r="D145" s="158" t="s">
        <v>2595</v>
      </c>
      <c r="E145" s="161" t="s">
        <v>2596</v>
      </c>
      <c r="F145" s="164" t="s">
        <v>2232</v>
      </c>
      <c r="G145" s="167">
        <f>IF(COUNTIF(H145:AU145,"&lt;&gt;")=0,"",SUMPRODUCT(((Recommendations[ImplStatus]="Implemented")+(Recommendations[ImplStatus]="Compensated"))*ISNUMBER(MATCH(Recommendations[Id],H145:AU145,0)))/COUNTIF(H145:AU145,"&lt;&gt;"))</f>
        <v>0</v>
      </c>
      <c r="H145" s="170" t="s">
        <v>14</v>
      </c>
      <c r="I145" s="170" t="s">
        <v>94</v>
      </c>
      <c r="J145" s="170" t="s">
        <v>99</v>
      </c>
      <c r="K145" s="170" t="s">
        <v>109</v>
      </c>
      <c r="L145" s="170" t="s">
        <v>160</v>
      </c>
      <c r="M145" s="170" t="s">
        <v>176</v>
      </c>
      <c r="N145" s="170" t="s">
        <v>260</v>
      </c>
      <c r="O145" s="170" t="s">
        <v>275</v>
      </c>
      <c r="P145" s="170" t="s">
        <v>303</v>
      </c>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2455</v>
      </c>
      <c r="B146" s="154" t="s">
        <v>2582</v>
      </c>
      <c r="C146" s="155" t="s">
        <v>2597</v>
      </c>
      <c r="D146" s="158" t="s">
        <v>2598</v>
      </c>
      <c r="E146" s="161" t="s">
        <v>2599</v>
      </c>
      <c r="F146" s="164" t="s">
        <v>2232</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2455</v>
      </c>
      <c r="B147" s="154" t="s">
        <v>2582</v>
      </c>
      <c r="C147" s="155" t="s">
        <v>2600</v>
      </c>
      <c r="D147" s="158" t="s">
        <v>2601</v>
      </c>
      <c r="E147" s="161" t="s">
        <v>2602</v>
      </c>
      <c r="F147" s="164" t="s">
        <v>2232</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2455</v>
      </c>
      <c r="B148" s="153" t="s">
        <v>2603</v>
      </c>
      <c r="C148" s="151" t="s">
        <v>2604</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2455</v>
      </c>
      <c r="B149" s="154" t="s">
        <v>2603</v>
      </c>
      <c r="C149" s="155" t="s">
        <v>2605</v>
      </c>
      <c r="D149" s="158" t="s">
        <v>2606</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2455</v>
      </c>
      <c r="B150" s="154" t="s">
        <v>2603</v>
      </c>
      <c r="C150" s="155" t="s">
        <v>2607</v>
      </c>
      <c r="D150" s="158" t="s">
        <v>2608</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2455</v>
      </c>
      <c r="B151" s="154" t="s">
        <v>2603</v>
      </c>
      <c r="C151" s="155" t="s">
        <v>2609</v>
      </c>
      <c r="D151" s="158" t="s">
        <v>2610</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2455</v>
      </c>
      <c r="B152" s="154" t="s">
        <v>2603</v>
      </c>
      <c r="C152" s="155" t="s">
        <v>2611</v>
      </c>
      <c r="D152" s="158" t="s">
        <v>2612</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2455</v>
      </c>
      <c r="B153" s="154" t="s">
        <v>2603</v>
      </c>
      <c r="C153" s="155" t="s">
        <v>2613</v>
      </c>
      <c r="D153" s="158" t="s">
        <v>2614</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2615</v>
      </c>
      <c r="B154" s="152" t="s">
        <v>21</v>
      </c>
      <c r="C154" s="150" t="s">
        <v>2616</v>
      </c>
      <c r="D154" s="156" t="s">
        <v>2617</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2615</v>
      </c>
      <c r="B155" s="153" t="s">
        <v>2618</v>
      </c>
      <c r="C155" s="151" t="s">
        <v>2619</v>
      </c>
      <c r="D155" s="157" t="s">
        <v>2620</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2615</v>
      </c>
      <c r="B156" s="154" t="s">
        <v>2618</v>
      </c>
      <c r="C156" s="155" t="s">
        <v>2621</v>
      </c>
      <c r="D156" s="158" t="s">
        <v>2622</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2615</v>
      </c>
      <c r="B157" s="154" t="s">
        <v>2618</v>
      </c>
      <c r="C157" s="155" t="s">
        <v>2623</v>
      </c>
      <c r="D157" s="158" t="s">
        <v>2624</v>
      </c>
      <c r="E157" s="161" t="s">
        <v>2625</v>
      </c>
      <c r="F157" s="164" t="s">
        <v>2232</v>
      </c>
      <c r="G157" s="167">
        <f>IF(COUNTIF(H157:AU157,"&lt;&gt;")=0,"",SUMPRODUCT(((Recommendations[ImplStatus]="Implemented")+(Recommendations[ImplStatus]="Compensated"))*ISNUMBER(MATCH(Recommendations[Id],H157:AU157,0)))/COUNTIF(H157:AU157,"&lt;&gt;"))</f>
        <v>0</v>
      </c>
      <c r="H157" s="170" t="s">
        <v>280</v>
      </c>
      <c r="I157" s="170" t="s">
        <v>319</v>
      </c>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2615</v>
      </c>
      <c r="B158" s="154" t="s">
        <v>2618</v>
      </c>
      <c r="C158" s="155" t="s">
        <v>2626</v>
      </c>
      <c r="D158" s="158" t="s">
        <v>2627</v>
      </c>
      <c r="E158" s="161" t="s">
        <v>2628</v>
      </c>
      <c r="F158" s="164" t="s">
        <v>2232</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2615</v>
      </c>
      <c r="B159" s="154" t="s">
        <v>2618</v>
      </c>
      <c r="C159" s="155" t="s">
        <v>2629</v>
      </c>
      <c r="D159" s="158" t="s">
        <v>2630</v>
      </c>
      <c r="E159" s="161" t="s">
        <v>2631</v>
      </c>
      <c r="F159" s="164" t="s">
        <v>2232</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2615</v>
      </c>
      <c r="B160" s="154" t="s">
        <v>2618</v>
      </c>
      <c r="C160" s="155" t="s">
        <v>2632</v>
      </c>
      <c r="D160" s="158" t="s">
        <v>2633</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2615</v>
      </c>
      <c r="B161" s="154" t="s">
        <v>2618</v>
      </c>
      <c r="C161" s="155" t="s">
        <v>2634</v>
      </c>
      <c r="D161" s="158" t="s">
        <v>2635</v>
      </c>
      <c r="E161" s="161" t="s">
        <v>2636</v>
      </c>
      <c r="F161" s="164" t="s">
        <v>2232</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2615</v>
      </c>
      <c r="B162" s="154" t="s">
        <v>2618</v>
      </c>
      <c r="C162" s="155" t="s">
        <v>2637</v>
      </c>
      <c r="D162" s="158" t="s">
        <v>2638</v>
      </c>
      <c r="E162" s="161" t="s">
        <v>2639</v>
      </c>
      <c r="F162" s="164" t="s">
        <v>2232</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2615</v>
      </c>
      <c r="B163" s="154" t="s">
        <v>2618</v>
      </c>
      <c r="C163" s="155" t="s">
        <v>2640</v>
      </c>
      <c r="D163" s="158" t="s">
        <v>2641</v>
      </c>
      <c r="E163" s="161" t="s">
        <v>2642</v>
      </c>
      <c r="F163" s="164" t="s">
        <v>2232</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2615</v>
      </c>
      <c r="B164" s="153" t="s">
        <v>2036</v>
      </c>
      <c r="C164" s="151" t="s">
        <v>2643</v>
      </c>
      <c r="D164" s="157" t="s">
        <v>2644</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2615</v>
      </c>
      <c r="B165" s="154" t="s">
        <v>2036</v>
      </c>
      <c r="C165" s="155" t="s">
        <v>2645</v>
      </c>
      <c r="D165" s="158" t="s">
        <v>2646</v>
      </c>
      <c r="E165" s="161" t="s">
        <v>2647</v>
      </c>
      <c r="F165" s="164" t="s">
        <v>2232</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2615</v>
      </c>
      <c r="B166" s="154" t="s">
        <v>2036</v>
      </c>
      <c r="C166" s="155" t="s">
        <v>2648</v>
      </c>
      <c r="D166" s="158" t="s">
        <v>2649</v>
      </c>
      <c r="E166" s="161" t="s">
        <v>2650</v>
      </c>
      <c r="F166" s="164" t="s">
        <v>2232</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2615</v>
      </c>
      <c r="B167" s="154" t="s">
        <v>2036</v>
      </c>
      <c r="C167" s="155" t="s">
        <v>2651</v>
      </c>
      <c r="D167" s="158" t="s">
        <v>2652</v>
      </c>
      <c r="E167" s="161" t="s">
        <v>2653</v>
      </c>
      <c r="F167" s="164" t="s">
        <v>2232</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2615</v>
      </c>
      <c r="B168" s="154" t="s">
        <v>2036</v>
      </c>
      <c r="C168" s="155" t="s">
        <v>2654</v>
      </c>
      <c r="D168" s="158" t="s">
        <v>2655</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2615</v>
      </c>
      <c r="B169" s="154" t="s">
        <v>2036</v>
      </c>
      <c r="C169" s="155" t="s">
        <v>2656</v>
      </c>
      <c r="D169" s="158" t="s">
        <v>2657</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2615</v>
      </c>
      <c r="B170" s="154" t="s">
        <v>2036</v>
      </c>
      <c r="C170" s="155" t="s">
        <v>2658</v>
      </c>
      <c r="D170" s="158" t="s">
        <v>2659</v>
      </c>
      <c r="E170" s="161" t="s">
        <v>2660</v>
      </c>
      <c r="F170" s="164" t="s">
        <v>2246</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2615</v>
      </c>
      <c r="B171" s="154" t="s">
        <v>2036</v>
      </c>
      <c r="C171" s="155" t="s">
        <v>2661</v>
      </c>
      <c r="D171" s="158" t="s">
        <v>2662</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2615</v>
      </c>
      <c r="B172" s="154" t="s">
        <v>2036</v>
      </c>
      <c r="C172" s="155" t="s">
        <v>2663</v>
      </c>
      <c r="D172" s="158" t="s">
        <v>2664</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2615</v>
      </c>
      <c r="B173" s="154" t="s">
        <v>2036</v>
      </c>
      <c r="C173" s="155" t="s">
        <v>2665</v>
      </c>
      <c r="D173" s="158" t="s">
        <v>2666</v>
      </c>
      <c r="E173" s="161" t="s">
        <v>2667</v>
      </c>
      <c r="F173" s="164" t="s">
        <v>2232</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2615</v>
      </c>
      <c r="B174" s="153" t="s">
        <v>2668</v>
      </c>
      <c r="C174" s="151" t="s">
        <v>2669</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2615</v>
      </c>
      <c r="B175" s="154" t="s">
        <v>2668</v>
      </c>
      <c r="C175" s="155" t="s">
        <v>2670</v>
      </c>
      <c r="D175" s="158" t="s">
        <v>2671</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2615</v>
      </c>
      <c r="B176" s="154" t="s">
        <v>2668</v>
      </c>
      <c r="C176" s="155" t="s">
        <v>2672</v>
      </c>
      <c r="D176" s="158" t="s">
        <v>2673</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2615</v>
      </c>
      <c r="B177" s="154" t="s">
        <v>2668</v>
      </c>
      <c r="C177" s="155" t="s">
        <v>2674</v>
      </c>
      <c r="D177" s="158" t="s">
        <v>2675</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2615</v>
      </c>
      <c r="B178" s="154" t="s">
        <v>2668</v>
      </c>
      <c r="C178" s="155" t="s">
        <v>2676</v>
      </c>
      <c r="D178" s="158" t="s">
        <v>2677</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2615</v>
      </c>
      <c r="B179" s="154" t="s">
        <v>2668</v>
      </c>
      <c r="C179" s="155" t="s">
        <v>2678</v>
      </c>
      <c r="D179" s="158" t="s">
        <v>2679</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2680</v>
      </c>
      <c r="B180" s="152" t="s">
        <v>21</v>
      </c>
      <c r="C180" s="150" t="s">
        <v>2681</v>
      </c>
      <c r="D180" s="156" t="s">
        <v>2682</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2680</v>
      </c>
      <c r="B181" s="153" t="s">
        <v>2683</v>
      </c>
      <c r="C181" s="151" t="s">
        <v>2684</v>
      </c>
      <c r="D181" s="157" t="s">
        <v>2685</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2680</v>
      </c>
      <c r="B182" s="154" t="s">
        <v>2683</v>
      </c>
      <c r="C182" s="155" t="s">
        <v>2686</v>
      </c>
      <c r="D182" s="158" t="s">
        <v>2687</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2680</v>
      </c>
      <c r="B183" s="154" t="s">
        <v>2683</v>
      </c>
      <c r="C183" s="155" t="s">
        <v>2688</v>
      </c>
      <c r="D183" s="158" t="s">
        <v>2689</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2680</v>
      </c>
      <c r="B184" s="154" t="s">
        <v>2683</v>
      </c>
      <c r="C184" s="155" t="s">
        <v>2690</v>
      </c>
      <c r="D184" s="158" t="s">
        <v>2691</v>
      </c>
      <c r="E184" s="161" t="s">
        <v>2692</v>
      </c>
      <c r="F184" s="164" t="s">
        <v>2232</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2680</v>
      </c>
      <c r="B185" s="154" t="s">
        <v>2683</v>
      </c>
      <c r="C185" s="155" t="s">
        <v>2693</v>
      </c>
      <c r="D185" s="158" t="s">
        <v>2694</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2680</v>
      </c>
      <c r="B186" s="154" t="s">
        <v>2683</v>
      </c>
      <c r="C186" s="155" t="s">
        <v>2695</v>
      </c>
      <c r="D186" s="158" t="s">
        <v>2696</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2680</v>
      </c>
      <c r="B187" s="154" t="s">
        <v>2683</v>
      </c>
      <c r="C187" s="155" t="s">
        <v>2697</v>
      </c>
      <c r="D187" s="158" t="s">
        <v>2698</v>
      </c>
      <c r="E187" s="161" t="s">
        <v>2699</v>
      </c>
      <c r="F187" s="164" t="s">
        <v>2232</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2680</v>
      </c>
      <c r="B188" s="154" t="s">
        <v>2683</v>
      </c>
      <c r="C188" s="155" t="s">
        <v>2700</v>
      </c>
      <c r="D188" s="158" t="s">
        <v>2701</v>
      </c>
      <c r="E188" s="161" t="s">
        <v>2702</v>
      </c>
      <c r="F188" s="164" t="s">
        <v>2232</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2680</v>
      </c>
      <c r="B189" s="154" t="s">
        <v>2683</v>
      </c>
      <c r="C189" s="155" t="s">
        <v>2703</v>
      </c>
      <c r="D189" s="158" t="s">
        <v>2704</v>
      </c>
      <c r="E189" s="161" t="s">
        <v>2705</v>
      </c>
      <c r="F189" s="164" t="s">
        <v>2232</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2680</v>
      </c>
      <c r="B190" s="153" t="s">
        <v>2706</v>
      </c>
      <c r="C190" s="151" t="s">
        <v>2707</v>
      </c>
      <c r="D190" s="157" t="s">
        <v>2708</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2680</v>
      </c>
      <c r="B191" s="154" t="s">
        <v>2706</v>
      </c>
      <c r="C191" s="155" t="s">
        <v>2709</v>
      </c>
      <c r="D191" s="158" t="s">
        <v>2710</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2680</v>
      </c>
      <c r="B192" s="154" t="s">
        <v>2706</v>
      </c>
      <c r="C192" s="155" t="s">
        <v>2711</v>
      </c>
      <c r="D192" s="158" t="s">
        <v>2712</v>
      </c>
      <c r="E192" s="161" t="s">
        <v>2713</v>
      </c>
      <c r="F192" s="164" t="s">
        <v>2236</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2680</v>
      </c>
      <c r="B193" s="154" t="s">
        <v>2706</v>
      </c>
      <c r="C193" s="155" t="s">
        <v>2714</v>
      </c>
      <c r="D193" s="158" t="s">
        <v>2715</v>
      </c>
      <c r="E193" s="161" t="s">
        <v>2716</v>
      </c>
      <c r="F193" s="164" t="s">
        <v>2236</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2680</v>
      </c>
      <c r="B194" s="154" t="s">
        <v>2706</v>
      </c>
      <c r="C194" s="155" t="s">
        <v>2717</v>
      </c>
      <c r="D194" s="158" t="s">
        <v>2718</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2680</v>
      </c>
      <c r="B195" s="154" t="s">
        <v>2706</v>
      </c>
      <c r="C195" s="155" t="s">
        <v>2719</v>
      </c>
      <c r="D195" s="158" t="s">
        <v>2720</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2680</v>
      </c>
      <c r="B196" s="153" t="s">
        <v>2721</v>
      </c>
      <c r="C196" s="151" t="s">
        <v>2722</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2680</v>
      </c>
      <c r="B197" s="154" t="s">
        <v>2721</v>
      </c>
      <c r="C197" s="155" t="s">
        <v>2723</v>
      </c>
      <c r="D197" s="158" t="s">
        <v>2724</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2680</v>
      </c>
      <c r="B198" s="154" t="s">
        <v>2721</v>
      </c>
      <c r="C198" s="155" t="s">
        <v>2725</v>
      </c>
      <c r="D198" s="158" t="s">
        <v>2726</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2680</v>
      </c>
      <c r="B199" s="153" t="s">
        <v>2727</v>
      </c>
      <c r="C199" s="151" t="s">
        <v>2728</v>
      </c>
      <c r="D199" s="157" t="s">
        <v>2729</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2680</v>
      </c>
      <c r="B200" s="154" t="s">
        <v>2727</v>
      </c>
      <c r="C200" s="155" t="s">
        <v>2730</v>
      </c>
      <c r="D200" s="158" t="s">
        <v>2731</v>
      </c>
      <c r="E200" s="161" t="s">
        <v>2732</v>
      </c>
      <c r="F200" s="164" t="s">
        <v>2246</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2680</v>
      </c>
      <c r="B201" s="154" t="s">
        <v>2727</v>
      </c>
      <c r="C201" s="155" t="s">
        <v>2733</v>
      </c>
      <c r="D201" s="158" t="s">
        <v>2734</v>
      </c>
      <c r="E201" s="161" t="s">
        <v>2735</v>
      </c>
      <c r="F201" s="164" t="s">
        <v>2232</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2680</v>
      </c>
      <c r="B202" s="154" t="s">
        <v>2727</v>
      </c>
      <c r="C202" s="155" t="s">
        <v>2736</v>
      </c>
      <c r="D202" s="158" t="s">
        <v>2737</v>
      </c>
      <c r="E202" s="161" t="s">
        <v>2738</v>
      </c>
      <c r="F202" s="164" t="s">
        <v>2232</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2680</v>
      </c>
      <c r="B203" s="154" t="s">
        <v>2727</v>
      </c>
      <c r="C203" s="155" t="s">
        <v>2739</v>
      </c>
      <c r="D203" s="158" t="s">
        <v>2740</v>
      </c>
      <c r="E203" s="161" t="s">
        <v>2741</v>
      </c>
      <c r="F203" s="164" t="s">
        <v>2232</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2680</v>
      </c>
      <c r="B204" s="154" t="s">
        <v>2727</v>
      </c>
      <c r="C204" s="155" t="s">
        <v>2742</v>
      </c>
      <c r="D204" s="158" t="s">
        <v>2743</v>
      </c>
      <c r="E204" s="161" t="s">
        <v>2744</v>
      </c>
      <c r="F204" s="164" t="s">
        <v>2232</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2680</v>
      </c>
      <c r="B205" s="153" t="s">
        <v>2745</v>
      </c>
      <c r="C205" s="151" t="s">
        <v>2746</v>
      </c>
      <c r="D205" s="157" t="s">
        <v>2747</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2680</v>
      </c>
      <c r="B206" s="154" t="s">
        <v>2745</v>
      </c>
      <c r="C206" s="155" t="s">
        <v>2748</v>
      </c>
      <c r="D206" s="158" t="s">
        <v>2749</v>
      </c>
      <c r="E206" s="161" t="s">
        <v>2750</v>
      </c>
      <c r="F206" s="164" t="s">
        <v>2236</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2680</v>
      </c>
      <c r="B207" s="154" t="s">
        <v>2745</v>
      </c>
      <c r="C207" s="155" t="s">
        <v>2751</v>
      </c>
      <c r="D207" s="158" t="s">
        <v>2752</v>
      </c>
      <c r="E207" s="161" t="s">
        <v>2753</v>
      </c>
      <c r="F207" s="164" t="s">
        <v>2236</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2680</v>
      </c>
      <c r="B208" s="154" t="s">
        <v>2745</v>
      </c>
      <c r="C208" s="155" t="s">
        <v>2754</v>
      </c>
      <c r="D208" s="158" t="s">
        <v>2755</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2680</v>
      </c>
      <c r="B209" s="153" t="s">
        <v>2756</v>
      </c>
      <c r="C209" s="151" t="s">
        <v>2757</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2680</v>
      </c>
      <c r="B210" s="154" t="s">
        <v>2756</v>
      </c>
      <c r="C210" s="155" t="s">
        <v>2758</v>
      </c>
      <c r="D210" s="158" t="s">
        <v>2759</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2760</v>
      </c>
      <c r="B211" s="152" t="s">
        <v>21</v>
      </c>
      <c r="C211" s="150" t="s">
        <v>2761</v>
      </c>
      <c r="D211" s="156" t="s">
        <v>2762</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2760</v>
      </c>
      <c r="B212" s="153" t="s">
        <v>2763</v>
      </c>
      <c r="C212" s="151" t="s">
        <v>2764</v>
      </c>
      <c r="D212" s="157" t="s">
        <v>2765</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2760</v>
      </c>
      <c r="B213" s="154" t="s">
        <v>2763</v>
      </c>
      <c r="C213" s="155" t="s">
        <v>2766</v>
      </c>
      <c r="D213" s="158" t="s">
        <v>2767</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2760</v>
      </c>
      <c r="B214" s="154" t="s">
        <v>2763</v>
      </c>
      <c r="C214" s="155" t="s">
        <v>2768</v>
      </c>
      <c r="D214" s="158" t="s">
        <v>2769</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2760</v>
      </c>
      <c r="B215" s="154" t="s">
        <v>2763</v>
      </c>
      <c r="C215" s="155" t="s">
        <v>2770</v>
      </c>
      <c r="D215" s="158" t="s">
        <v>2771</v>
      </c>
      <c r="E215" s="161" t="s">
        <v>2772</v>
      </c>
      <c r="F215" s="164" t="s">
        <v>2236</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2760</v>
      </c>
      <c r="B216" s="154" t="s">
        <v>2763</v>
      </c>
      <c r="C216" s="155" t="s">
        <v>2773</v>
      </c>
      <c r="D216" s="158" t="s">
        <v>2774</v>
      </c>
      <c r="E216" s="161" t="s">
        <v>2775</v>
      </c>
      <c r="F216" s="164" t="s">
        <v>2232</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2760</v>
      </c>
      <c r="B217" s="153" t="s">
        <v>2721</v>
      </c>
      <c r="C217" s="151" t="s">
        <v>2776</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2760</v>
      </c>
      <c r="B218" s="154" t="s">
        <v>2721</v>
      </c>
      <c r="C218" s="155" t="s">
        <v>2777</v>
      </c>
      <c r="D218" s="158" t="s">
        <v>2778</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2760</v>
      </c>
      <c r="B219" s="154" t="s">
        <v>2721</v>
      </c>
      <c r="C219" s="155" t="s">
        <v>2779</v>
      </c>
      <c r="D219" s="158" t="s">
        <v>2780</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2760</v>
      </c>
      <c r="B220" s="153" t="s">
        <v>2781</v>
      </c>
      <c r="C220" s="151" t="s">
        <v>2782</v>
      </c>
      <c r="D220" s="157" t="s">
        <v>2783</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2760</v>
      </c>
      <c r="B221" s="154" t="s">
        <v>2781</v>
      </c>
      <c r="C221" s="155" t="s">
        <v>2784</v>
      </c>
      <c r="D221" s="158" t="s">
        <v>2785</v>
      </c>
      <c r="E221" s="161" t="s">
        <v>2786</v>
      </c>
      <c r="F221" s="164" t="s">
        <v>2232</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2760</v>
      </c>
      <c r="B222" s="154" t="s">
        <v>2781</v>
      </c>
      <c r="C222" s="155" t="s">
        <v>2787</v>
      </c>
      <c r="D222" s="158" t="s">
        <v>2788</v>
      </c>
      <c r="E222" s="161" t="s">
        <v>2789</v>
      </c>
      <c r="F222" s="164" t="s">
        <v>2232</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2760</v>
      </c>
      <c r="B223" s="154" t="s">
        <v>2781</v>
      </c>
      <c r="C223" s="155" t="s">
        <v>2790</v>
      </c>
      <c r="D223" s="158" t="s">
        <v>2791</v>
      </c>
      <c r="E223" s="161" t="s">
        <v>2792</v>
      </c>
      <c r="F223" s="164" t="s">
        <v>2232</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2760</v>
      </c>
      <c r="B224" s="154" t="s">
        <v>2781</v>
      </c>
      <c r="C224" s="155" t="s">
        <v>2793</v>
      </c>
      <c r="D224" s="158" t="s">
        <v>2794</v>
      </c>
      <c r="E224" s="161" t="s">
        <v>2795</v>
      </c>
      <c r="F224" s="164" t="s">
        <v>2232</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2760</v>
      </c>
      <c r="B225" s="154" t="s">
        <v>2781</v>
      </c>
      <c r="C225" s="155" t="s">
        <v>2796</v>
      </c>
      <c r="D225" s="158" t="s">
        <v>2797</v>
      </c>
      <c r="E225" s="161" t="s">
        <v>2798</v>
      </c>
      <c r="F225" s="164" t="s">
        <v>2232</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2760</v>
      </c>
      <c r="B226" s="171" t="s">
        <v>2781</v>
      </c>
      <c r="C226" s="172" t="s">
        <v>2799</v>
      </c>
      <c r="D226" s="173" t="s">
        <v>2800</v>
      </c>
      <c r="E226" s="174" t="s">
        <v>2801</v>
      </c>
      <c r="F226" s="175" t="s">
        <v>2232</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334</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IFERROR(INDEX('Recommendations'!$H$2:$H$64, MATCH(H2,'Recommendations'!$A$2:$A$64,0))="Implemented", FALSE))</xm:f>
            <x14:dxf>
              <font>
                <color rgb="FF000000"/>
              </font>
              <fill>
                <patternFill>
                  <bgColor rgb="FF3C7D22"/>
                </patternFill>
              </fill>
            </x14:dxf>
          </x14:cfRule>
          <x14:cfRule type="expression" priority="2" id="{00000000-000E-0000-0700-000002000000}">
            <xm:f>AND(H2&lt;&gt;"", IFERROR(INDEX('Recommendations'!$H$2:$H$64, MATCH(H2,'Recommendations'!$A$2:$A$64,0))="Compensated", FALSE))</xm:f>
            <x14:dxf>
              <font>
                <color rgb="FF000000"/>
              </font>
              <fill>
                <patternFill>
                  <bgColor rgb="FFC6E0B4"/>
                </patternFill>
              </fill>
            </x14:dxf>
          </x14:cfRule>
          <x14:cfRule type="expression" priority="3" id="{00000000-000E-0000-0700-000003000000}">
            <xm:f>AND(H2&lt;&gt;"", IFERROR(INDEX('Recommendations'!$H$2:$H$64, MATCH(H2,'Recommendations'!$A$2:$A$64,0))="Testing", FALSE))</xm:f>
            <x14:dxf>
              <font>
                <color rgb="FF000000"/>
              </font>
              <fill>
                <patternFill>
                  <bgColor rgb="FFFFC000"/>
                </patternFill>
              </fill>
            </x14:dxf>
          </x14:cfRule>
          <x14:cfRule type="expression" priority="4" id="{00000000-000E-0000-0700-000004000000}">
            <xm:f>AND(H2&lt;&gt;"", IFERROR(INDEX('Recommendations'!$H$2:$H$64, MATCH(H2,'Recommendations'!$A$2:$A$64,0))="Failed", FALSE))</xm:f>
            <x14:dxf>
              <font>
                <color rgb="FF000000"/>
              </font>
              <fill>
                <patternFill>
                  <bgColor rgb="FFD82891"/>
                </patternFill>
              </fill>
            </x14:dxf>
          </x14:cfRule>
          <x14:cfRule type="expression" priority="5" id="{00000000-000E-0000-0700-000005000000}">
            <xm:f>AND(H2&lt;&gt;"", IFERROR(INDEX('Recommendations'!$H$2:$H$64, MATCH(H2,'Recommendations'!$A$2:$A$64,0))="Risk Accepted", FALSE))</xm:f>
            <x14:dxf>
              <font>
                <color rgb="FF000000"/>
              </font>
              <fill>
                <patternFill>
                  <bgColor rgb="FFD9D9D9"/>
                </patternFill>
              </fill>
            </x14:dxf>
          </x14:cfRule>
          <x14:cfRule type="expression" priority="6" id="{00000000-000E-0000-0700-000006000000}">
            <xm:f>AND(H2&lt;&gt;"", IFERROR(INDEX('Recommendations'!$H$2:$H$64, MATCH(H2,'Recommendations'!$A$2:$A$64,0))="N/A",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2219</v>
      </c>
      <c r="B1" s="210" t="s">
        <v>2802</v>
      </c>
      <c r="C1" s="210" t="s">
        <v>2803</v>
      </c>
      <c r="D1" s="210" t="s">
        <v>2804</v>
      </c>
      <c r="E1" s="210" t="s">
        <v>1528</v>
      </c>
      <c r="F1" s="210" t="s">
        <v>587</v>
      </c>
      <c r="G1" s="210" t="s">
        <v>588</v>
      </c>
      <c r="H1" s="210" t="s">
        <v>589</v>
      </c>
      <c r="I1" s="210" t="s">
        <v>590</v>
      </c>
      <c r="J1" s="210" t="s">
        <v>591</v>
      </c>
      <c r="K1" s="210" t="s">
        <v>592</v>
      </c>
      <c r="L1" s="210" t="s">
        <v>593</v>
      </c>
      <c r="M1" s="210" t="s">
        <v>594</v>
      </c>
      <c r="N1" s="210" t="s">
        <v>595</v>
      </c>
      <c r="O1" s="210" t="s">
        <v>596</v>
      </c>
      <c r="P1" s="210" t="s">
        <v>597</v>
      </c>
      <c r="Q1" s="210" t="s">
        <v>598</v>
      </c>
      <c r="R1" s="210" t="s">
        <v>599</v>
      </c>
      <c r="S1" s="210" t="s">
        <v>600</v>
      </c>
      <c r="T1" s="210" t="s">
        <v>601</v>
      </c>
      <c r="U1" s="210" t="s">
        <v>602</v>
      </c>
      <c r="V1" s="210" t="s">
        <v>603</v>
      </c>
      <c r="W1" s="210" t="s">
        <v>604</v>
      </c>
      <c r="X1" s="210" t="s">
        <v>605</v>
      </c>
      <c r="Y1" s="210" t="s">
        <v>606</v>
      </c>
      <c r="Z1" s="210" t="s">
        <v>607</v>
      </c>
      <c r="AA1" s="210" t="s">
        <v>608</v>
      </c>
      <c r="AB1" s="210" t="s">
        <v>609</v>
      </c>
      <c r="AC1" s="210" t="s">
        <v>610</v>
      </c>
      <c r="AD1" s="210" t="s">
        <v>611</v>
      </c>
      <c r="AE1" s="210" t="s">
        <v>612</v>
      </c>
      <c r="AF1" s="210" t="s">
        <v>613</v>
      </c>
      <c r="AG1" s="210" t="s">
        <v>614</v>
      </c>
      <c r="AH1" s="210" t="s">
        <v>615</v>
      </c>
      <c r="AI1" s="210" t="s">
        <v>616</v>
      </c>
      <c r="AJ1" s="210" t="s">
        <v>617</v>
      </c>
      <c r="AK1" s="210" t="s">
        <v>618</v>
      </c>
      <c r="AL1" s="210" t="s">
        <v>619</v>
      </c>
      <c r="AM1" s="210" t="s">
        <v>620</v>
      </c>
      <c r="AN1" s="210" t="s">
        <v>621</v>
      </c>
      <c r="AO1" s="210" t="s">
        <v>622</v>
      </c>
      <c r="AP1" s="210" t="s">
        <v>623</v>
      </c>
      <c r="AQ1" s="210" t="s">
        <v>624</v>
      </c>
      <c r="AR1" s="210" t="s">
        <v>625</v>
      </c>
      <c r="AS1" s="210" t="s">
        <v>626</v>
      </c>
      <c r="AT1" s="211" t="s">
        <v>627</v>
      </c>
    </row>
    <row r="2" spans="1:46" ht="60" customHeight="1" outlineLevel="1" x14ac:dyDescent="0.35">
      <c r="A2" s="203" t="s">
        <v>428</v>
      </c>
      <c r="B2" s="189" t="s">
        <v>2805</v>
      </c>
      <c r="C2" s="189"/>
      <c r="D2" s="192" t="s">
        <v>2806</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428</v>
      </c>
      <c r="B3" s="190" t="s">
        <v>2805</v>
      </c>
      <c r="C3" s="191" t="s">
        <v>2807</v>
      </c>
      <c r="D3" s="193" t="s">
        <v>2808</v>
      </c>
      <c r="E3" s="193" t="s">
        <v>2809</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428</v>
      </c>
      <c r="B4" s="190" t="s">
        <v>2805</v>
      </c>
      <c r="C4" s="191" t="s">
        <v>2810</v>
      </c>
      <c r="D4" s="193" t="s">
        <v>2811</v>
      </c>
      <c r="E4" s="193" t="s">
        <v>2812</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428</v>
      </c>
      <c r="B5" s="190" t="s">
        <v>2805</v>
      </c>
      <c r="C5" s="191" t="s">
        <v>2813</v>
      </c>
      <c r="D5" s="193" t="s">
        <v>2814</v>
      </c>
      <c r="E5" s="193" t="s">
        <v>2815</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428</v>
      </c>
      <c r="B6" s="190" t="s">
        <v>2805</v>
      </c>
      <c r="C6" s="191" t="s">
        <v>2816</v>
      </c>
      <c r="D6" s="193" t="s">
        <v>2817</v>
      </c>
      <c r="E6" s="193" t="s">
        <v>2818</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428</v>
      </c>
      <c r="B7" s="190" t="s">
        <v>2805</v>
      </c>
      <c r="C7" s="191" t="s">
        <v>2819</v>
      </c>
      <c r="D7" s="193" t="s">
        <v>2820</v>
      </c>
      <c r="E7" s="193" t="s">
        <v>2821</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428</v>
      </c>
      <c r="B8" s="190" t="s">
        <v>2805</v>
      </c>
      <c r="C8" s="191" t="s">
        <v>2822</v>
      </c>
      <c r="D8" s="193" t="s">
        <v>2823</v>
      </c>
      <c r="E8" s="193" t="s">
        <v>2824</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428</v>
      </c>
      <c r="B9" s="190" t="s">
        <v>2805</v>
      </c>
      <c r="C9" s="191" t="s">
        <v>2825</v>
      </c>
      <c r="D9" s="193" t="s">
        <v>2826</v>
      </c>
      <c r="E9" s="193" t="s">
        <v>2827</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428</v>
      </c>
      <c r="B10" s="190" t="s">
        <v>2805</v>
      </c>
      <c r="C10" s="191" t="s">
        <v>2828</v>
      </c>
      <c r="D10" s="193" t="s">
        <v>2829</v>
      </c>
      <c r="E10" s="193" t="s">
        <v>2830</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428</v>
      </c>
      <c r="B11" s="190" t="s">
        <v>2805</v>
      </c>
      <c r="C11" s="191" t="s">
        <v>2831</v>
      </c>
      <c r="D11" s="193" t="s">
        <v>2832</v>
      </c>
      <c r="E11" s="193" t="s">
        <v>2833</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428</v>
      </c>
      <c r="B12" s="190" t="s">
        <v>2805</v>
      </c>
      <c r="C12" s="191" t="s">
        <v>2834</v>
      </c>
      <c r="D12" s="193" t="s">
        <v>2835</v>
      </c>
      <c r="E12" s="193" t="s">
        <v>2836</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428</v>
      </c>
      <c r="B13" s="190" t="s">
        <v>2805</v>
      </c>
      <c r="C13" s="191" t="s">
        <v>2837</v>
      </c>
      <c r="D13" s="193" t="s">
        <v>2838</v>
      </c>
      <c r="E13" s="193" t="s">
        <v>2839</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428</v>
      </c>
      <c r="B14" s="190" t="s">
        <v>2805</v>
      </c>
      <c r="C14" s="191" t="s">
        <v>2840</v>
      </c>
      <c r="D14" s="193" t="s">
        <v>2841</v>
      </c>
      <c r="E14" s="193" t="s">
        <v>2842</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428</v>
      </c>
      <c r="B15" s="190" t="s">
        <v>2805</v>
      </c>
      <c r="C15" s="191" t="s">
        <v>2843</v>
      </c>
      <c r="D15" s="193" t="s">
        <v>2844</v>
      </c>
      <c r="E15" s="193" t="s">
        <v>2845</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428</v>
      </c>
      <c r="B16" s="190" t="s">
        <v>2805</v>
      </c>
      <c r="C16" s="191" t="s">
        <v>2846</v>
      </c>
      <c r="D16" s="193" t="s">
        <v>2847</v>
      </c>
      <c r="E16" s="193" t="s">
        <v>2848</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428</v>
      </c>
      <c r="B17" s="190" t="s">
        <v>2805</v>
      </c>
      <c r="C17" s="191" t="s">
        <v>2849</v>
      </c>
      <c r="D17" s="193" t="s">
        <v>2850</v>
      </c>
      <c r="E17" s="193" t="s">
        <v>2851</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428</v>
      </c>
      <c r="B18" s="190" t="s">
        <v>2805</v>
      </c>
      <c r="C18" s="191" t="s">
        <v>2852</v>
      </c>
      <c r="D18" s="193" t="s">
        <v>2853</v>
      </c>
      <c r="E18" s="193" t="s">
        <v>2854</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428</v>
      </c>
      <c r="B19" s="189" t="s">
        <v>2855</v>
      </c>
      <c r="C19" s="189"/>
      <c r="D19" s="192" t="s">
        <v>2856</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428</v>
      </c>
      <c r="B20" s="190" t="s">
        <v>2855</v>
      </c>
      <c r="C20" s="191" t="s">
        <v>2857</v>
      </c>
      <c r="D20" s="193" t="s">
        <v>2858</v>
      </c>
      <c r="E20" s="193" t="s">
        <v>2859</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428</v>
      </c>
      <c r="B21" s="190" t="s">
        <v>2855</v>
      </c>
      <c r="C21" s="191" t="s">
        <v>2860</v>
      </c>
      <c r="D21" s="193" t="s">
        <v>2861</v>
      </c>
      <c r="E21" s="193" t="s">
        <v>2862</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428</v>
      </c>
      <c r="B22" s="190" t="s">
        <v>2855</v>
      </c>
      <c r="C22" s="191" t="s">
        <v>2863</v>
      </c>
      <c r="D22" s="193" t="s">
        <v>2864</v>
      </c>
      <c r="E22" s="193" t="s">
        <v>2865</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428</v>
      </c>
      <c r="B23" s="190" t="s">
        <v>2855</v>
      </c>
      <c r="C23" s="191" t="s">
        <v>2866</v>
      </c>
      <c r="D23" s="193" t="s">
        <v>2867</v>
      </c>
      <c r="E23" s="193" t="s">
        <v>2868</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428</v>
      </c>
      <c r="B24" s="190" t="s">
        <v>2855</v>
      </c>
      <c r="C24" s="191" t="s">
        <v>2869</v>
      </c>
      <c r="D24" s="193" t="s">
        <v>2870</v>
      </c>
      <c r="E24" s="193" t="s">
        <v>2871</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428</v>
      </c>
      <c r="B25" s="190" t="s">
        <v>2855</v>
      </c>
      <c r="C25" s="191" t="s">
        <v>2872</v>
      </c>
      <c r="D25" s="193" t="s">
        <v>2873</v>
      </c>
      <c r="E25" s="193" t="s">
        <v>2874</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428</v>
      </c>
      <c r="B26" s="190" t="s">
        <v>2855</v>
      </c>
      <c r="C26" s="191" t="s">
        <v>2875</v>
      </c>
      <c r="D26" s="193" t="s">
        <v>2876</v>
      </c>
      <c r="E26" s="193" t="s">
        <v>2877</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428</v>
      </c>
      <c r="B27" s="190" t="s">
        <v>2855</v>
      </c>
      <c r="C27" s="191" t="s">
        <v>2878</v>
      </c>
      <c r="D27" s="193" t="s">
        <v>2879</v>
      </c>
      <c r="E27" s="193" t="s">
        <v>2880</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428</v>
      </c>
      <c r="B28" s="190" t="s">
        <v>2855</v>
      </c>
      <c r="C28" s="191" t="s">
        <v>2881</v>
      </c>
      <c r="D28" s="193" t="s">
        <v>2882</v>
      </c>
      <c r="E28" s="193" t="s">
        <v>2883</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428</v>
      </c>
      <c r="B29" s="190" t="s">
        <v>2855</v>
      </c>
      <c r="C29" s="191" t="s">
        <v>2884</v>
      </c>
      <c r="D29" s="193" t="s">
        <v>2885</v>
      </c>
      <c r="E29" s="193" t="s">
        <v>2886</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428</v>
      </c>
      <c r="B30" s="190" t="s">
        <v>2855</v>
      </c>
      <c r="C30" s="191" t="s">
        <v>2887</v>
      </c>
      <c r="D30" s="193" t="s">
        <v>2888</v>
      </c>
      <c r="E30" s="193" t="s">
        <v>2889</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428</v>
      </c>
      <c r="B31" s="190" t="s">
        <v>2855</v>
      </c>
      <c r="C31" s="191" t="s">
        <v>2890</v>
      </c>
      <c r="D31" s="193" t="s">
        <v>2891</v>
      </c>
      <c r="E31" s="193" t="s">
        <v>2892</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2893</v>
      </c>
      <c r="B32" s="189"/>
      <c r="C32" s="189"/>
      <c r="D32" s="192" t="s">
        <v>2894</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2893</v>
      </c>
      <c r="B33" s="190"/>
      <c r="C33" s="191" t="s">
        <v>2895</v>
      </c>
      <c r="D33" s="193" t="s">
        <v>2896</v>
      </c>
      <c r="E33" s="193" t="s">
        <v>2897</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2893</v>
      </c>
      <c r="B34" s="190"/>
      <c r="C34" s="191" t="s">
        <v>2898</v>
      </c>
      <c r="D34" s="193" t="s">
        <v>2899</v>
      </c>
      <c r="E34" s="193" t="s">
        <v>2900</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2893</v>
      </c>
      <c r="B35" s="190"/>
      <c r="C35" s="191" t="s">
        <v>2901</v>
      </c>
      <c r="D35" s="193" t="s">
        <v>2902</v>
      </c>
      <c r="E35" s="193" t="s">
        <v>2903</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2893</v>
      </c>
      <c r="B36" s="189" t="s">
        <v>2904</v>
      </c>
      <c r="C36" s="189"/>
      <c r="D36" s="192" t="s">
        <v>2905</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2893</v>
      </c>
      <c r="B37" s="190" t="s">
        <v>2904</v>
      </c>
      <c r="C37" s="191" t="s">
        <v>2906</v>
      </c>
      <c r="D37" s="193" t="s">
        <v>2907</v>
      </c>
      <c r="E37" s="193" t="s">
        <v>2908</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2893</v>
      </c>
      <c r="B38" s="190" t="s">
        <v>2904</v>
      </c>
      <c r="C38" s="191" t="s">
        <v>2909</v>
      </c>
      <c r="D38" s="193" t="s">
        <v>2910</v>
      </c>
      <c r="E38" s="193" t="s">
        <v>2911</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2893</v>
      </c>
      <c r="B39" s="190" t="s">
        <v>2904</v>
      </c>
      <c r="C39" s="191" t="s">
        <v>2912</v>
      </c>
      <c r="D39" s="193" t="s">
        <v>2913</v>
      </c>
      <c r="E39" s="193" t="s">
        <v>2914</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2893</v>
      </c>
      <c r="B40" s="190" t="s">
        <v>2904</v>
      </c>
      <c r="C40" s="191" t="s">
        <v>2915</v>
      </c>
      <c r="D40" s="193" t="s">
        <v>2916</v>
      </c>
      <c r="E40" s="193" t="s">
        <v>2917</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2893</v>
      </c>
      <c r="B41" s="190" t="s">
        <v>2904</v>
      </c>
      <c r="C41" s="191" t="s">
        <v>2918</v>
      </c>
      <c r="D41" s="193" t="s">
        <v>2919</v>
      </c>
      <c r="E41" s="193" t="s">
        <v>2920</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2893</v>
      </c>
      <c r="B42" s="190" t="s">
        <v>2904</v>
      </c>
      <c r="C42" s="191" t="s">
        <v>2921</v>
      </c>
      <c r="D42" s="193" t="s">
        <v>2922</v>
      </c>
      <c r="E42" s="193" t="s">
        <v>2923</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2893</v>
      </c>
      <c r="B43" s="190" t="s">
        <v>2904</v>
      </c>
      <c r="C43" s="191" t="s">
        <v>2924</v>
      </c>
      <c r="D43" s="193" t="s">
        <v>2925</v>
      </c>
      <c r="E43" s="193" t="s">
        <v>2926</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2893</v>
      </c>
      <c r="B44" s="190" t="s">
        <v>2904</v>
      </c>
      <c r="C44" s="191" t="s">
        <v>2927</v>
      </c>
      <c r="D44" s="193" t="s">
        <v>2928</v>
      </c>
      <c r="E44" s="193" t="s">
        <v>2929</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2893</v>
      </c>
      <c r="B45" s="190" t="s">
        <v>2904</v>
      </c>
      <c r="C45" s="191" t="s">
        <v>2930</v>
      </c>
      <c r="D45" s="193" t="s">
        <v>2931</v>
      </c>
      <c r="E45" s="193" t="s">
        <v>2932</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2893</v>
      </c>
      <c r="B46" s="190" t="s">
        <v>2904</v>
      </c>
      <c r="C46" s="191" t="s">
        <v>2933</v>
      </c>
      <c r="D46" s="193" t="s">
        <v>2934</v>
      </c>
      <c r="E46" s="193" t="s">
        <v>2935</v>
      </c>
      <c r="F46" s="195">
        <f>IF(COUNTIF(G46:AT46,"&lt;&gt;")=0,"",SUMPRODUCT(((Recommendations[ImplStatus]="Implemented")+(Recommendations[ImplStatus]="Compensated"))*ISNUMBER(MATCH(Recommendations[Id],G46:AT46,0)))/COUNTIF(G46:AT46,"&lt;&gt;"))</f>
        <v>0</v>
      </c>
      <c r="G46" s="197" t="s">
        <v>171</v>
      </c>
      <c r="H46" s="197" t="s">
        <v>270</v>
      </c>
      <c r="I46" s="197" t="s">
        <v>314</v>
      </c>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2893</v>
      </c>
      <c r="B47" s="190" t="s">
        <v>2904</v>
      </c>
      <c r="C47" s="191" t="s">
        <v>2936</v>
      </c>
      <c r="D47" s="193" t="s">
        <v>2937</v>
      </c>
      <c r="E47" s="193" t="s">
        <v>2938</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2893</v>
      </c>
      <c r="B48" s="190" t="s">
        <v>2904</v>
      </c>
      <c r="C48" s="191" t="s">
        <v>2939</v>
      </c>
      <c r="D48" s="193" t="s">
        <v>2940</v>
      </c>
      <c r="E48" s="193" t="s">
        <v>2941</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2893</v>
      </c>
      <c r="B49" s="190" t="s">
        <v>2904</v>
      </c>
      <c r="C49" s="191" t="s">
        <v>2942</v>
      </c>
      <c r="D49" s="193" t="s">
        <v>2943</v>
      </c>
      <c r="E49" s="193" t="s">
        <v>2944</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2893</v>
      </c>
      <c r="B50" s="190" t="s">
        <v>2904</v>
      </c>
      <c r="C50" s="191" t="s">
        <v>2945</v>
      </c>
      <c r="D50" s="193" t="s">
        <v>2946</v>
      </c>
      <c r="E50" s="193" t="s">
        <v>2947</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2893</v>
      </c>
      <c r="B51" s="189" t="s">
        <v>2948</v>
      </c>
      <c r="C51" s="189"/>
      <c r="D51" s="192" t="s">
        <v>2949</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2893</v>
      </c>
      <c r="B52" s="190" t="s">
        <v>2948</v>
      </c>
      <c r="C52" s="191" t="s">
        <v>2950</v>
      </c>
      <c r="D52" s="193" t="s">
        <v>2951</v>
      </c>
      <c r="E52" s="193" t="s">
        <v>2952</v>
      </c>
      <c r="F52" s="195">
        <f>IF(COUNTIF(G52:AT52,"&lt;&gt;")=0,"",SUMPRODUCT(((Recommendations[ImplStatus]="Implemented")+(Recommendations[ImplStatus]="Compensated"))*ISNUMBER(MATCH(Recommendations[Id],G52:AT52,0)))/COUNTIF(G52:AT52,"&lt;&gt;"))</f>
        <v>0</v>
      </c>
      <c r="G52" s="197" t="s">
        <v>135</v>
      </c>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2893</v>
      </c>
      <c r="B53" s="190" t="s">
        <v>2948</v>
      </c>
      <c r="C53" s="191" t="s">
        <v>2953</v>
      </c>
      <c r="D53" s="193" t="s">
        <v>2954</v>
      </c>
      <c r="E53" s="193" t="s">
        <v>2955</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2893</v>
      </c>
      <c r="B54" s="190" t="s">
        <v>2948</v>
      </c>
      <c r="C54" s="191" t="s">
        <v>2956</v>
      </c>
      <c r="D54" s="193" t="s">
        <v>2957</v>
      </c>
      <c r="E54" s="193" t="s">
        <v>2958</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2893</v>
      </c>
      <c r="B55" s="190" t="s">
        <v>2948</v>
      </c>
      <c r="C55" s="191" t="s">
        <v>2959</v>
      </c>
      <c r="D55" s="193" t="s">
        <v>2960</v>
      </c>
      <c r="E55" s="193" t="s">
        <v>2961</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2893</v>
      </c>
      <c r="B56" s="190" t="s">
        <v>2948</v>
      </c>
      <c r="C56" s="191" t="s">
        <v>2962</v>
      </c>
      <c r="D56" s="193" t="s">
        <v>2963</v>
      </c>
      <c r="E56" s="193" t="s">
        <v>2964</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2893</v>
      </c>
      <c r="B57" s="190" t="s">
        <v>2948</v>
      </c>
      <c r="C57" s="191" t="s">
        <v>2965</v>
      </c>
      <c r="D57" s="193" t="s">
        <v>2966</v>
      </c>
      <c r="E57" s="193" t="s">
        <v>2967</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2893</v>
      </c>
      <c r="B58" s="190" t="s">
        <v>2948</v>
      </c>
      <c r="C58" s="191" t="s">
        <v>2968</v>
      </c>
      <c r="D58" s="193" t="s">
        <v>2969</v>
      </c>
      <c r="E58" s="193" t="s">
        <v>2970</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2893</v>
      </c>
      <c r="B59" s="190" t="s">
        <v>2948</v>
      </c>
      <c r="C59" s="191" t="s">
        <v>2971</v>
      </c>
      <c r="D59" s="193" t="s">
        <v>2972</v>
      </c>
      <c r="E59" s="193" t="s">
        <v>2973</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2893</v>
      </c>
      <c r="B60" s="190" t="s">
        <v>2974</v>
      </c>
      <c r="C60" s="191" t="s">
        <v>2975</v>
      </c>
      <c r="D60" s="193" t="s">
        <v>2976</v>
      </c>
      <c r="E60" s="193" t="s">
        <v>2977</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2893</v>
      </c>
      <c r="B61" s="190" t="s">
        <v>2974</v>
      </c>
      <c r="C61" s="191" t="s">
        <v>2978</v>
      </c>
      <c r="D61" s="193" t="s">
        <v>2979</v>
      </c>
      <c r="E61" s="193" t="s">
        <v>2980</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2893</v>
      </c>
      <c r="B62" s="189" t="s">
        <v>2981</v>
      </c>
      <c r="C62" s="189"/>
      <c r="D62" s="192" t="s">
        <v>2982</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2893</v>
      </c>
      <c r="B63" s="190" t="s">
        <v>2981</v>
      </c>
      <c r="C63" s="191" t="s">
        <v>2983</v>
      </c>
      <c r="D63" s="193" t="s">
        <v>2984</v>
      </c>
      <c r="E63" s="193" t="s">
        <v>2985</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2893</v>
      </c>
      <c r="B64" s="190" t="s">
        <v>2981</v>
      </c>
      <c r="C64" s="191" t="s">
        <v>2986</v>
      </c>
      <c r="D64" s="193" t="s">
        <v>2987</v>
      </c>
      <c r="E64" s="193" t="s">
        <v>2988</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2893</v>
      </c>
      <c r="B65" s="190" t="s">
        <v>2981</v>
      </c>
      <c r="C65" s="191" t="s">
        <v>2989</v>
      </c>
      <c r="D65" s="193" t="s">
        <v>2990</v>
      </c>
      <c r="E65" s="193" t="s">
        <v>2991</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2893</v>
      </c>
      <c r="B66" s="190" t="s">
        <v>2981</v>
      </c>
      <c r="C66" s="191" t="s">
        <v>2992</v>
      </c>
      <c r="D66" s="193" t="s">
        <v>2993</v>
      </c>
      <c r="E66" s="193" t="s">
        <v>2994</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2893</v>
      </c>
      <c r="B67" s="190" t="s">
        <v>2981</v>
      </c>
      <c r="C67" s="191" t="s">
        <v>2995</v>
      </c>
      <c r="D67" s="193" t="s">
        <v>2996</v>
      </c>
      <c r="E67" s="193" t="s">
        <v>2997</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2893</v>
      </c>
      <c r="B68" s="190" t="s">
        <v>2981</v>
      </c>
      <c r="C68" s="191" t="s">
        <v>2998</v>
      </c>
      <c r="D68" s="193" t="s">
        <v>2999</v>
      </c>
      <c r="E68" s="193" t="s">
        <v>3000</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2893</v>
      </c>
      <c r="B69" s="190" t="s">
        <v>2981</v>
      </c>
      <c r="C69" s="191" t="s">
        <v>3001</v>
      </c>
      <c r="D69" s="193" t="s">
        <v>3002</v>
      </c>
      <c r="E69" s="193" t="s">
        <v>3003</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2893</v>
      </c>
      <c r="B70" s="190" t="s">
        <v>2981</v>
      </c>
      <c r="C70" s="191" t="s">
        <v>3004</v>
      </c>
      <c r="D70" s="193" t="s">
        <v>3005</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2893</v>
      </c>
      <c r="B71" s="190" t="s">
        <v>2981</v>
      </c>
      <c r="C71" s="191" t="s">
        <v>3006</v>
      </c>
      <c r="D71" s="193" t="s">
        <v>3007</v>
      </c>
      <c r="E71" s="193" t="s">
        <v>3008</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2893</v>
      </c>
      <c r="B72" s="190" t="s">
        <v>2981</v>
      </c>
      <c r="C72" s="191" t="s">
        <v>3009</v>
      </c>
      <c r="D72" s="193" t="s">
        <v>3010</v>
      </c>
      <c r="E72" s="193" t="s">
        <v>3011</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2893</v>
      </c>
      <c r="B73" s="190" t="s">
        <v>2981</v>
      </c>
      <c r="C73" s="191" t="s">
        <v>3012</v>
      </c>
      <c r="D73" s="193" t="s">
        <v>3013</v>
      </c>
      <c r="E73" s="193" t="s">
        <v>3014</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2893</v>
      </c>
      <c r="B74" s="190" t="s">
        <v>2981</v>
      </c>
      <c r="C74" s="191" t="s">
        <v>3015</v>
      </c>
      <c r="D74" s="193" t="s">
        <v>3016</v>
      </c>
      <c r="E74" s="193" t="s">
        <v>3017</v>
      </c>
      <c r="F74" s="195">
        <f>IF(COUNTIF(G74:AT74,"&lt;&gt;")=0,"",SUMPRODUCT(((Recommendations[ImplStatus]="Implemented")+(Recommendations[ImplStatus]="Compensated"))*ISNUMBER(MATCH(Recommendations[Id],G74:AT74,0)))/COUNTIF(G74:AT74,"&lt;&gt;"))</f>
        <v>0</v>
      </c>
      <c r="G74" s="197" t="s">
        <v>130</v>
      </c>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2893</v>
      </c>
      <c r="B75" s="190" t="s">
        <v>2981</v>
      </c>
      <c r="C75" s="191" t="s">
        <v>3018</v>
      </c>
      <c r="D75" s="193" t="s">
        <v>3019</v>
      </c>
      <c r="E75" s="193" t="s">
        <v>3020</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2893</v>
      </c>
      <c r="B76" s="190" t="s">
        <v>2981</v>
      </c>
      <c r="C76" s="191" t="s">
        <v>3021</v>
      </c>
      <c r="D76" s="193" t="s">
        <v>3022</v>
      </c>
      <c r="E76" s="193" t="s">
        <v>3023</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2893</v>
      </c>
      <c r="B77" s="190" t="s">
        <v>2981</v>
      </c>
      <c r="C77" s="191" t="s">
        <v>3024</v>
      </c>
      <c r="D77" s="193" t="s">
        <v>3025</v>
      </c>
      <c r="E77" s="193" t="s">
        <v>3026</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2893</v>
      </c>
      <c r="B78" s="190" t="s">
        <v>2981</v>
      </c>
      <c r="C78" s="191" t="s">
        <v>3027</v>
      </c>
      <c r="D78" s="193" t="s">
        <v>3028</v>
      </c>
      <c r="E78" s="193" t="s">
        <v>3029</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2893</v>
      </c>
      <c r="B79" s="189" t="s">
        <v>2981</v>
      </c>
      <c r="C79" s="189"/>
      <c r="D79" s="192" t="s">
        <v>3030</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3031</v>
      </c>
      <c r="B80" s="190"/>
      <c r="C80" s="191" t="s">
        <v>3032</v>
      </c>
      <c r="D80" s="193" t="s">
        <v>3033</v>
      </c>
      <c r="E80" s="193" t="s">
        <v>3034</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3031</v>
      </c>
      <c r="B81" s="190"/>
      <c r="C81" s="191" t="s">
        <v>3035</v>
      </c>
      <c r="D81" s="193" t="s">
        <v>3036</v>
      </c>
      <c r="E81" s="193" t="s">
        <v>3037</v>
      </c>
      <c r="F81" s="195">
        <f>IF(COUNTIF(G81:AT81,"&lt;&gt;")=0,"",SUMPRODUCT(((Recommendations[ImplStatus]="Implemented")+(Recommendations[ImplStatus]="Compensated"))*ISNUMBER(MATCH(Recommendations[Id],G81:AT81,0)))/COUNTIF(G81:AT81,"&lt;&gt;"))</f>
        <v>0</v>
      </c>
      <c r="G81" s="197" t="s">
        <v>46</v>
      </c>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3031</v>
      </c>
      <c r="B82" s="190"/>
      <c r="C82" s="191" t="s">
        <v>3038</v>
      </c>
      <c r="D82" s="193" t="s">
        <v>3039</v>
      </c>
      <c r="E82" s="193" t="s">
        <v>3040</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3031</v>
      </c>
      <c r="B83" s="190"/>
      <c r="C83" s="191" t="s">
        <v>3041</v>
      </c>
      <c r="D83" s="193" t="s">
        <v>3042</v>
      </c>
      <c r="E83" s="193" t="s">
        <v>3043</v>
      </c>
      <c r="F83" s="195">
        <f>IF(COUNTIF(G83:AT83,"&lt;&gt;")=0,"",SUMPRODUCT(((Recommendations[ImplStatus]="Implemented")+(Recommendations[ImplStatus]="Compensated"))*ISNUMBER(MATCH(Recommendations[Id],G83:AT83,0)))/COUNTIF(G83:AT83,"&lt;&gt;"))</f>
        <v>0</v>
      </c>
      <c r="G83" s="197" t="s">
        <v>25</v>
      </c>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3031</v>
      </c>
      <c r="B84" s="189"/>
      <c r="C84" s="189"/>
      <c r="D84" s="192" t="s">
        <v>3044</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3045</v>
      </c>
      <c r="B85" s="190"/>
      <c r="C85" s="191" t="s">
        <v>3046</v>
      </c>
      <c r="D85" s="193" t="s">
        <v>3047</v>
      </c>
      <c r="E85" s="193" t="s">
        <v>3048</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3045</v>
      </c>
      <c r="B86" s="190"/>
      <c r="C86" s="191" t="s">
        <v>3049</v>
      </c>
      <c r="D86" s="193" t="s">
        <v>3050</v>
      </c>
      <c r="E86" s="193" t="s">
        <v>3051</v>
      </c>
      <c r="F86" s="195">
        <f>IF(COUNTIF(G86:AT86,"&lt;&gt;")=0,"",SUMPRODUCT(((Recommendations[ImplStatus]="Implemented")+(Recommendations[ImplStatus]="Compensated"))*ISNUMBER(MATCH(Recommendations[Id],G86:AT86,0)))/COUNTIF(G86:AT86,"&lt;&gt;"))</f>
        <v>0</v>
      </c>
      <c r="G86" s="197" t="s">
        <v>51</v>
      </c>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3045</v>
      </c>
      <c r="B87" s="190"/>
      <c r="C87" s="191" t="s">
        <v>3052</v>
      </c>
      <c r="D87" s="193" t="s">
        <v>3053</v>
      </c>
      <c r="E87" s="193" t="s">
        <v>3054</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3045</v>
      </c>
      <c r="B88" s="190"/>
      <c r="C88" s="191" t="s">
        <v>3055</v>
      </c>
      <c r="D88" s="193" t="s">
        <v>3056</v>
      </c>
      <c r="E88" s="193" t="s">
        <v>3057</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3045</v>
      </c>
      <c r="B89" s="190"/>
      <c r="C89" s="191" t="s">
        <v>3058</v>
      </c>
      <c r="D89" s="193" t="s">
        <v>3059</v>
      </c>
      <c r="E89" s="193" t="s">
        <v>3060</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3045</v>
      </c>
      <c r="B90" s="189" t="s">
        <v>3061</v>
      </c>
      <c r="C90" s="189"/>
      <c r="D90" s="192" t="s">
        <v>3062</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3045</v>
      </c>
      <c r="B91" s="190" t="s">
        <v>3061</v>
      </c>
      <c r="C91" s="191" t="s">
        <v>3063</v>
      </c>
      <c r="D91" s="193" t="s">
        <v>3064</v>
      </c>
      <c r="E91" s="193" t="s">
        <v>3065</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3045</v>
      </c>
      <c r="B92" s="190" t="s">
        <v>3061</v>
      </c>
      <c r="C92" s="191" t="s">
        <v>3066</v>
      </c>
      <c r="D92" s="193" t="s">
        <v>3067</v>
      </c>
      <c r="E92" s="193" t="s">
        <v>3068</v>
      </c>
      <c r="F92" s="195">
        <f>IF(COUNTIF(G92:AT92,"&lt;&gt;")=0,"",SUMPRODUCT(((Recommendations[ImplStatus]="Implemented")+(Recommendations[ImplStatus]="Compensated"))*ISNUMBER(MATCH(Recommendations[Id],G92:AT92,0)))/COUNTIF(G92:AT92,"&lt;&gt;"))</f>
        <v>0</v>
      </c>
      <c r="G92" s="197" t="s">
        <v>61</v>
      </c>
      <c r="H92" s="197" t="s">
        <v>66</v>
      </c>
      <c r="I92" s="197" t="s">
        <v>71</v>
      </c>
      <c r="J92" s="197" t="s">
        <v>76</v>
      </c>
      <c r="K92" s="197" t="s">
        <v>80</v>
      </c>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3061</v>
      </c>
      <c r="C93" s="191" t="s">
        <v>3069</v>
      </c>
      <c r="D93" s="193" t="s">
        <v>3070</v>
      </c>
      <c r="E93" s="193" t="s">
        <v>3071</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3061</v>
      </c>
      <c r="C94" s="191" t="s">
        <v>3072</v>
      </c>
      <c r="D94" s="193" t="s">
        <v>3073</v>
      </c>
      <c r="E94" s="193" t="s">
        <v>3074</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3061</v>
      </c>
      <c r="C95" s="191" t="s">
        <v>3075</v>
      </c>
      <c r="D95" s="193" t="s">
        <v>3076</v>
      </c>
      <c r="E95" s="193" t="s">
        <v>3077</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3061</v>
      </c>
      <c r="C96" s="191" t="s">
        <v>3078</v>
      </c>
      <c r="D96" s="193" t="s">
        <v>3079</v>
      </c>
      <c r="E96" s="193" t="s">
        <v>3080</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3061</v>
      </c>
      <c r="C97" s="191" t="s">
        <v>3081</v>
      </c>
      <c r="D97" s="193" t="s">
        <v>3082</v>
      </c>
      <c r="E97" s="193" t="s">
        <v>3083</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3061</v>
      </c>
      <c r="C98" s="191" t="s">
        <v>3084</v>
      </c>
      <c r="D98" s="193" t="s">
        <v>3085</v>
      </c>
      <c r="E98" s="193" t="s">
        <v>3086</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3087</v>
      </c>
      <c r="C99" s="189"/>
      <c r="D99" s="192" t="s">
        <v>3088</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3087</v>
      </c>
      <c r="C100" s="191" t="s">
        <v>3089</v>
      </c>
      <c r="D100" s="193" t="s">
        <v>3090</v>
      </c>
      <c r="E100" s="193" t="s">
        <v>3091</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3087</v>
      </c>
      <c r="C101" s="191" t="s">
        <v>3092</v>
      </c>
      <c r="D101" s="193" t="s">
        <v>3093</v>
      </c>
      <c r="E101" s="193" t="s">
        <v>3094</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3087</v>
      </c>
      <c r="C102" s="191" t="s">
        <v>3095</v>
      </c>
      <c r="D102" s="193" t="s">
        <v>3096</v>
      </c>
      <c r="E102" s="193" t="s">
        <v>3097</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3087</v>
      </c>
      <c r="C103" s="191" t="s">
        <v>3098</v>
      </c>
      <c r="D103" s="193" t="s">
        <v>3099</v>
      </c>
      <c r="E103" s="193" t="s">
        <v>3100</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3087</v>
      </c>
      <c r="C104" s="199" t="s">
        <v>3101</v>
      </c>
      <c r="D104" s="200" t="s">
        <v>3102</v>
      </c>
      <c r="E104" s="200" t="s">
        <v>3103</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334</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IFERROR(INDEX('Recommendations'!$H$2:$H$64, MATCH(G2,'Recommendations'!$A$2:$A$64,0))="Implemented", FALSE))</xm:f>
            <x14:dxf>
              <font>
                <color rgb="FF000000"/>
              </font>
              <fill>
                <patternFill>
                  <bgColor rgb="FF3C7D22"/>
                </patternFill>
              </fill>
            </x14:dxf>
          </x14:cfRule>
          <x14:cfRule type="expression" priority="2" id="{00000000-000E-0000-0800-000002000000}">
            <xm:f>AND(G2&lt;&gt;"", IFERROR(INDEX('Recommendations'!$H$2:$H$64, MATCH(G2,'Recommendations'!$A$2:$A$64,0))="Compensated", FALSE))</xm:f>
            <x14:dxf>
              <font>
                <color rgb="FF000000"/>
              </font>
              <fill>
                <patternFill>
                  <bgColor rgb="FFC6E0B4"/>
                </patternFill>
              </fill>
            </x14:dxf>
          </x14:cfRule>
          <x14:cfRule type="expression" priority="3" id="{00000000-000E-0000-0800-000003000000}">
            <xm:f>AND(G2&lt;&gt;"", IFERROR(INDEX('Recommendations'!$H$2:$H$64, MATCH(G2,'Recommendations'!$A$2:$A$64,0))="Testing", FALSE))</xm:f>
            <x14:dxf>
              <font>
                <color rgb="FF000000"/>
              </font>
              <fill>
                <patternFill>
                  <bgColor rgb="FFFFC000"/>
                </patternFill>
              </fill>
            </x14:dxf>
          </x14:cfRule>
          <x14:cfRule type="expression" priority="4" id="{00000000-000E-0000-0800-000004000000}">
            <xm:f>AND(G2&lt;&gt;"", IFERROR(INDEX('Recommendations'!$H$2:$H$64, MATCH(G2,'Recommendations'!$A$2:$A$64,0))="Failed", FALSE))</xm:f>
            <x14:dxf>
              <font>
                <color rgb="FF000000"/>
              </font>
              <fill>
                <patternFill>
                  <bgColor rgb="FFD82891"/>
                </patternFill>
              </fill>
            </x14:dxf>
          </x14:cfRule>
          <x14:cfRule type="expression" priority="5" id="{00000000-000E-0000-0800-000005000000}">
            <xm:f>AND(G2&lt;&gt;"", IFERROR(INDEX('Recommendations'!$H$2:$H$64, MATCH(G2,'Recommendations'!$A$2:$A$64,0))="Risk Accepted", FALSE))</xm:f>
            <x14:dxf>
              <font>
                <color rgb="FF000000"/>
              </font>
              <fill>
                <patternFill>
                  <bgColor rgb="FFD9D9D9"/>
                </patternFill>
              </fill>
            </x14:dxf>
          </x14:cfRule>
          <x14:cfRule type="expression" priority="6" id="{00000000-000E-0000-0800-000006000000}">
            <xm:f>AND(G2&lt;&gt;"", IFERROR(INDEX('Recommendations'!$H$2:$H$64, MATCH(G2,'Recommendations'!$A$2:$A$64,0))="N/A",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NSX 4.x Security Technical Implementation Guide - SHGIR</dc:title>
  <dc:subject>Generated on: 2026-06-08 13:22:41</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2026-06-08T12:22:51Z</dcterms:modified>
  <cp:category>DISA-STIG</cp:category>
  <cp:contentStatus>Draft</cp:contentStatus>
</cp:coreProperties>
</file>