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46DAA76CE3CA3789F8F197A823A057DC6ED9A1B2" xr6:coauthVersionLast="47" xr6:coauthVersionMax="47" xr10:uidLastSave="{9C104A4D-6DF7-4B74-AC1A-F338EB6B92B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37" i="3" s="1"/>
  <c r="R212" i="3"/>
  <c r="R211" i="3"/>
  <c r="R210" i="3"/>
  <c r="R209" i="3"/>
  <c r="R208" i="3"/>
  <c r="R207" i="3"/>
  <c r="R206" i="3"/>
  <c r="R205" i="3"/>
  <c r="R204" i="3"/>
  <c r="R203" i="3"/>
  <c r="R202" i="3"/>
  <c r="R201" i="3"/>
  <c r="R200" i="3"/>
  <c r="R199" i="3"/>
  <c r="R198" i="3"/>
  <c r="R197" i="3"/>
  <c r="R196" i="3"/>
  <c r="R195" i="3"/>
  <c r="R194" i="3"/>
  <c r="R193" i="3"/>
  <c r="O137" i="3"/>
  <c r="N137" i="3"/>
  <c r="M137" i="3"/>
  <c r="L137" i="3"/>
  <c r="K137" i="3"/>
  <c r="E137" i="3"/>
  <c r="O136" i="3"/>
  <c r="N136" i="3"/>
  <c r="M136" i="3"/>
  <c r="L136" i="3"/>
  <c r="K136" i="3"/>
  <c r="F136" i="3"/>
  <c r="E136" i="3"/>
  <c r="G136" i="3" s="1"/>
  <c r="O135" i="3"/>
  <c r="N135" i="3"/>
  <c r="M135" i="3"/>
  <c r="L135" i="3"/>
  <c r="K135" i="3"/>
  <c r="F135" i="3"/>
  <c r="E135" i="3"/>
  <c r="G135" i="3" s="1"/>
  <c r="O134" i="3"/>
  <c r="N134" i="3"/>
  <c r="M134" i="3"/>
  <c r="L134" i="3"/>
  <c r="K134" i="3"/>
  <c r="F134" i="3"/>
  <c r="E134" i="3"/>
  <c r="G134" i="3" s="1"/>
  <c r="O133" i="3"/>
  <c r="N133" i="3"/>
  <c r="M133" i="3"/>
  <c r="L133" i="3"/>
  <c r="K133" i="3"/>
  <c r="F133" i="3"/>
  <c r="E133" i="3"/>
  <c r="G133" i="3" s="1"/>
  <c r="O132" i="3"/>
  <c r="N132" i="3"/>
  <c r="M132" i="3"/>
  <c r="L132" i="3"/>
  <c r="K132" i="3"/>
  <c r="F132" i="3"/>
  <c r="E132" i="3"/>
  <c r="G132" i="3" s="1"/>
  <c r="E118" i="3"/>
  <c r="D118" i="3"/>
  <c r="C118" i="3"/>
  <c r="F118" i="3" s="1"/>
  <c r="E117" i="3"/>
  <c r="D117" i="3"/>
  <c r="C117" i="3"/>
  <c r="F117" i="3" s="1"/>
  <c r="E116" i="3"/>
  <c r="D116" i="3"/>
  <c r="C116" i="3"/>
  <c r="F116" i="3" s="1"/>
  <c r="E115" i="3"/>
  <c r="D115" i="3"/>
  <c r="C115" i="3"/>
  <c r="F115" i="3" s="1"/>
  <c r="E98" i="3"/>
  <c r="D98" i="3"/>
  <c r="C98" i="3"/>
  <c r="F98" i="3" s="1"/>
  <c r="F97" i="3"/>
  <c r="E105" i="3" s="1"/>
  <c r="E97" i="3"/>
  <c r="D97" i="3"/>
  <c r="C97" i="3"/>
  <c r="E96" i="3"/>
  <c r="D96" i="3"/>
  <c r="C96" i="3"/>
  <c r="W148" i="3" s="1"/>
  <c r="F95" i="3"/>
  <c r="V179" i="3" s="1"/>
  <c r="E95" i="3"/>
  <c r="D95" i="3"/>
  <c r="C95" i="3"/>
  <c r="U148" i="3" s="1"/>
  <c r="F94" i="3"/>
  <c r="T179" i="3" s="1"/>
  <c r="E94" i="3"/>
  <c r="D94" i="3"/>
  <c r="C94" i="3"/>
  <c r="S148" i="3" s="1"/>
  <c r="E79" i="3"/>
  <c r="D79" i="3"/>
  <c r="C79" i="3"/>
  <c r="F79" i="3" s="1"/>
  <c r="E78" i="3"/>
  <c r="D78" i="3"/>
  <c r="C78" i="3"/>
  <c r="F78" i="3" s="1"/>
  <c r="E77" i="3"/>
  <c r="D77" i="3"/>
  <c r="C77" i="3"/>
  <c r="F77" i="3" s="1"/>
  <c r="E59" i="3"/>
  <c r="D59" i="3"/>
  <c r="C59" i="3"/>
  <c r="F59" i="3" s="1"/>
  <c r="E58" i="3"/>
  <c r="F58" i="3" s="1"/>
  <c r="D58" i="3"/>
  <c r="C58" i="3"/>
  <c r="E57" i="3"/>
  <c r="D57" i="3"/>
  <c r="C57" i="3"/>
  <c r="F57" i="3" s="1"/>
  <c r="E56" i="3"/>
  <c r="D56" i="3"/>
  <c r="C56" i="3"/>
  <c r="F56" i="3" s="1"/>
  <c r="E55" i="3"/>
  <c r="D55" i="3"/>
  <c r="C55" i="3"/>
  <c r="F55" i="3" s="1"/>
  <c r="E54" i="3"/>
  <c r="D54" i="3"/>
  <c r="C54" i="3"/>
  <c r="F54" i="3" s="1"/>
  <c r="F35" i="3"/>
  <c r="C45" i="3" s="1"/>
  <c r="E35" i="3"/>
  <c r="D35" i="3"/>
  <c r="C35" i="3"/>
  <c r="E34" i="3"/>
  <c r="D34" i="3"/>
  <c r="C34" i="3"/>
  <c r="F34" i="3" s="1"/>
  <c r="E33" i="3"/>
  <c r="D33" i="3"/>
  <c r="F33" i="3" s="1"/>
  <c r="C33" i="3"/>
  <c r="E32" i="3"/>
  <c r="D32" i="3"/>
  <c r="F32" i="3" s="1"/>
  <c r="C32" i="3"/>
  <c r="E31" i="3"/>
  <c r="D31" i="3"/>
  <c r="C31" i="3"/>
  <c r="F31" i="3" s="1"/>
  <c r="F30" i="3"/>
  <c r="E40" i="3" s="1"/>
  <c r="E30" i="3"/>
  <c r="D30" i="3"/>
  <c r="C30" i="3"/>
  <c r="E29" i="3"/>
  <c r="D29" i="3"/>
  <c r="C29" i="3"/>
  <c r="F29" i="3" s="1"/>
  <c r="E16" i="3"/>
  <c r="D16" i="3"/>
  <c r="C16" i="3"/>
  <c r="Q148" i="3" s="1"/>
  <c r="C9" i="3"/>
  <c r="D9" i="3" s="1"/>
  <c r="C8" i="3"/>
  <c r="D8" i="3" s="1"/>
  <c r="E68" i="3" l="1"/>
  <c r="D68" i="3"/>
  <c r="C68" i="3"/>
  <c r="E39" i="3"/>
  <c r="D39" i="3"/>
  <c r="C39" i="3"/>
  <c r="E83" i="3"/>
  <c r="D83" i="3"/>
  <c r="C83" i="3"/>
  <c r="D84" i="3"/>
  <c r="C84" i="3"/>
  <c r="E84" i="3"/>
  <c r="E106" i="3"/>
  <c r="D106" i="3"/>
  <c r="C106" i="3"/>
  <c r="E64" i="3"/>
  <c r="D64" i="3"/>
  <c r="C64" i="3"/>
  <c r="E85" i="3"/>
  <c r="D85" i="3"/>
  <c r="C85" i="3"/>
  <c r="E65" i="3"/>
  <c r="C65" i="3"/>
  <c r="D65" i="3"/>
  <c r="E122" i="3"/>
  <c r="D122" i="3"/>
  <c r="C122" i="3"/>
  <c r="D42" i="3"/>
  <c r="C42" i="3"/>
  <c r="E42" i="3"/>
  <c r="D123" i="3"/>
  <c r="C123" i="3"/>
  <c r="E123" i="3"/>
  <c r="C66" i="3"/>
  <c r="E66" i="3"/>
  <c r="D66" i="3"/>
  <c r="E41" i="3"/>
  <c r="C41" i="3"/>
  <c r="D41" i="3"/>
  <c r="D43" i="3"/>
  <c r="E43" i="3"/>
  <c r="C43" i="3"/>
  <c r="E124" i="3"/>
  <c r="D124" i="3"/>
  <c r="C124" i="3"/>
  <c r="G137" i="3"/>
  <c r="C44" i="3"/>
  <c r="E44" i="3"/>
  <c r="D44" i="3"/>
  <c r="E63" i="3"/>
  <c r="C63" i="3"/>
  <c r="D63" i="3"/>
  <c r="E67" i="3"/>
  <c r="D67" i="3"/>
  <c r="C67" i="3"/>
  <c r="E125" i="3"/>
  <c r="D125" i="3"/>
  <c r="C125" i="3"/>
  <c r="C7" i="3"/>
  <c r="D7" i="3" s="1"/>
  <c r="D45" i="3"/>
  <c r="E45" i="3"/>
  <c r="T150" i="3"/>
  <c r="T155" i="3"/>
  <c r="T160" i="3"/>
  <c r="T165" i="3"/>
  <c r="T170" i="3"/>
  <c r="T175" i="3"/>
  <c r="T180" i="3"/>
  <c r="V150" i="3"/>
  <c r="V155" i="3"/>
  <c r="V160" i="3"/>
  <c r="V165" i="3"/>
  <c r="V170" i="3"/>
  <c r="V175" i="3"/>
  <c r="V180" i="3"/>
  <c r="D40" i="3"/>
  <c r="C102" i="3"/>
  <c r="T151" i="3"/>
  <c r="T156" i="3"/>
  <c r="T161" i="3"/>
  <c r="T166" i="3"/>
  <c r="T171" i="3"/>
  <c r="T176" i="3"/>
  <c r="C40" i="3"/>
  <c r="D102" i="3"/>
  <c r="V151" i="3"/>
  <c r="V156" i="3"/>
  <c r="V161" i="3"/>
  <c r="V166" i="3"/>
  <c r="V171" i="3"/>
  <c r="V176" i="3"/>
  <c r="E102" i="3"/>
  <c r="C103" i="3"/>
  <c r="F16" i="3"/>
  <c r="D103" i="3"/>
  <c r="T152" i="3"/>
  <c r="T157" i="3"/>
  <c r="T162" i="3"/>
  <c r="T167" i="3"/>
  <c r="T172" i="3"/>
  <c r="T177" i="3"/>
  <c r="E103" i="3"/>
  <c r="V152" i="3"/>
  <c r="V157" i="3"/>
  <c r="V162" i="3"/>
  <c r="V167" i="3"/>
  <c r="V172" i="3"/>
  <c r="V177" i="3"/>
  <c r="T153" i="3"/>
  <c r="T158" i="3"/>
  <c r="T163" i="3"/>
  <c r="T168" i="3"/>
  <c r="T173" i="3"/>
  <c r="T178" i="3"/>
  <c r="C105" i="3"/>
  <c r="V153" i="3"/>
  <c r="V158" i="3"/>
  <c r="V163" i="3"/>
  <c r="V168" i="3"/>
  <c r="V173" i="3"/>
  <c r="V178" i="3"/>
  <c r="D105" i="3"/>
  <c r="F96" i="3"/>
  <c r="T154" i="3"/>
  <c r="T159" i="3"/>
  <c r="T164" i="3"/>
  <c r="T169" i="3"/>
  <c r="T174" i="3"/>
  <c r="V154" i="3"/>
  <c r="V159" i="3"/>
  <c r="V164" i="3"/>
  <c r="V169" i="3"/>
  <c r="V174" i="3"/>
  <c r="R180" i="3" l="1"/>
  <c r="R175" i="3"/>
  <c r="R170" i="3"/>
  <c r="R165" i="3"/>
  <c r="R160" i="3"/>
  <c r="R155" i="3"/>
  <c r="R150" i="3"/>
  <c r="R179" i="3"/>
  <c r="R174" i="3"/>
  <c r="R169" i="3"/>
  <c r="R164" i="3"/>
  <c r="R159" i="3"/>
  <c r="R154" i="3"/>
  <c r="R178" i="3"/>
  <c r="R173" i="3"/>
  <c r="R168" i="3"/>
  <c r="R163" i="3"/>
  <c r="R158" i="3"/>
  <c r="R153" i="3"/>
  <c r="R177" i="3"/>
  <c r="R172" i="3"/>
  <c r="R167" i="3"/>
  <c r="R162" i="3"/>
  <c r="R157" i="3"/>
  <c r="R152" i="3"/>
  <c r="E20" i="3"/>
  <c r="D20" i="3"/>
  <c r="C20" i="3"/>
  <c r="R176" i="3"/>
  <c r="R171" i="3"/>
  <c r="R166" i="3"/>
  <c r="R161" i="3"/>
  <c r="R156" i="3"/>
  <c r="R151" i="3"/>
  <c r="X179" i="3"/>
  <c r="X174" i="3"/>
  <c r="X169" i="3"/>
  <c r="X164" i="3"/>
  <c r="X159" i="3"/>
  <c r="X154" i="3"/>
  <c r="X178" i="3"/>
  <c r="X173" i="3"/>
  <c r="X168" i="3"/>
  <c r="X163" i="3"/>
  <c r="X158" i="3"/>
  <c r="X153" i="3"/>
  <c r="E104" i="3"/>
  <c r="X177" i="3"/>
  <c r="X172" i="3"/>
  <c r="X167" i="3"/>
  <c r="X162" i="3"/>
  <c r="X157" i="3"/>
  <c r="X152" i="3"/>
  <c r="C104" i="3"/>
  <c r="X176" i="3"/>
  <c r="X171" i="3"/>
  <c r="X166" i="3"/>
  <c r="X161" i="3"/>
  <c r="X156" i="3"/>
  <c r="X151" i="3"/>
  <c r="X180" i="3"/>
  <c r="X175" i="3"/>
  <c r="X170" i="3"/>
  <c r="X165" i="3"/>
  <c r="X160" i="3"/>
  <c r="X155" i="3"/>
  <c r="X150" i="3"/>
  <c r="D10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NSX-T Tier-0 Gateway Firewall must be configured to use the TLS or LI-TLS protocols to configure and secure communications with the central audit server.</t>
        </r>
      </text>
    </comment>
    <comment ref="K26" authorId="0" shapeId="0" xr:uid="{00000000-0006-0000-0400-000003000000}">
      <text>
        <r>
          <rPr>
            <sz val="11"/>
            <rFont val="Calibri"/>
          </rPr>
          <t>The NSX-T Manager must disable TLS 1.1 and enable TLS 1.2.</t>
        </r>
      </text>
    </comment>
    <comment ref="L26" authorId="0" shapeId="0" xr:uid="{00000000-0006-0000-0400-000002000000}">
      <text>
        <r>
          <rPr>
            <sz val="11"/>
            <rFont val="Calibri"/>
          </rPr>
          <t>The NSX-T Manager must enable the global FIPS compliance mode for load balancers.</t>
        </r>
      </text>
    </comment>
    <comment ref="J27" authorId="0" shapeId="0" xr:uid="{00000000-0006-0000-0400-000004000000}">
      <text>
        <r>
          <rPr>
            <sz val="11"/>
            <rFont val="Calibri"/>
          </rPr>
          <t>Each NSX-T Edge Node configured to host a Tier-1 Gateway Firewall must be configured to use the TLS or LI-TLS protocols to configure and secure traffic log records.</t>
        </r>
      </text>
    </comment>
    <comment ref="J34" authorId="0" shapeId="0" xr:uid="{00000000-0006-0000-0400-000005000000}">
      <text>
        <r>
          <rPr>
            <sz val="11"/>
            <rFont val="Calibri"/>
          </rPr>
          <t>The NSX-T Manager must terminate the device management session at the end of the session or after 10 minutes of inactivity.</t>
        </r>
      </text>
    </comment>
    <comment ref="J35" authorId="0" shapeId="0" xr:uid="{00000000-0006-0000-0400-000006000000}">
      <text>
        <r>
          <rPr>
            <sz val="11"/>
            <rFont val="Calibri"/>
          </rPr>
          <t>The NSX-T Distributed Firewall must block outbound traffic containing denial-of-service (DoS) attacks to protect against the use of internal information systems to launch any DoS attacks against other networks or endpoints.</t>
        </r>
      </text>
    </comment>
    <comment ref="K35" authorId="0" shapeId="0" xr:uid="{00000000-0006-0000-0400-00000E000000}">
      <text>
        <r>
          <rPr>
            <sz val="11"/>
            <rFont val="Calibri"/>
          </rPr>
          <t>The NSX-T Distributed Firewall must deny network communications traffic by default and allow network communications traffic by exception (i.e., deny all, permit by exception).</t>
        </r>
      </text>
    </comment>
    <comment ref="L35" authorId="0" shapeId="0" xr:uid="{00000000-0006-0000-0400-00000F000000}">
      <text>
        <r>
          <rPr>
            <sz val="11"/>
            <rFont val="Calibri"/>
          </rPr>
          <t>The NSX-T Distributed Firewall must verify time-based firewall rules.</t>
        </r>
      </text>
    </comment>
    <comment ref="M35" authorId="0" shapeId="0" xr:uid="{00000000-0006-0000-0400-000007000000}">
      <text>
        <r>
          <rPr>
            <sz val="11"/>
            <rFont val="Calibri"/>
          </rPr>
          <t>The NSX-T Tier-0 Gateway Firewall must block outbound traffic containing denial-of-service (DoS) attacks to protect against the use of internal information systems to launch any DoS attacks against other networks or endpoints.</t>
        </r>
      </text>
    </comment>
    <comment ref="N35" authorId="0" shapeId="0" xr:uid="{00000000-0006-0000-0400-000008000000}">
      <text>
        <r>
          <rPr>
            <sz val="11"/>
            <rFont val="Calibri"/>
          </rPr>
          <t>The NSX-T Tier-1 Gateway Firewall must deny network communications traffic by default and allow network communications traffic by exception (i.e., deny all, permit by exception).</t>
        </r>
      </text>
    </comment>
    <comment ref="O35" authorId="0" shapeId="0" xr:uid="{00000000-0006-0000-0400-000009000000}">
      <text>
        <r>
          <rPr>
            <sz val="11"/>
            <rFont val="Calibri"/>
          </rPr>
          <t>The NSX-T Tier-0 Gateway Firewall must apply ingress filters to traffic that is inbound to the network through any active external interface.</t>
        </r>
      </text>
    </comment>
    <comment ref="P35" authorId="0" shapeId="0" xr:uid="{00000000-0006-0000-0400-00000A000000}">
      <text>
        <r>
          <rPr>
            <sz val="11"/>
            <rFont val="Calibri"/>
          </rPr>
          <t>The NSX-T Tier-0 Gateway must be configured to restrict traffic destined to itself.</t>
        </r>
      </text>
    </comment>
    <comment ref="Q35" authorId="0" shapeId="0" xr:uid="{00000000-0006-0000-0400-00000B000000}">
      <text>
        <r>
          <rPr>
            <sz val="11"/>
            <rFont val="Calibri"/>
          </rPr>
          <t>The NSX-T Tier-1 Gateway Firewall must block outbound traffic containing denial-of-service (DoS) attacks to protect against the use of internal information systems to launch any DoS attacks against other networks or endpoints.</t>
        </r>
      </text>
    </comment>
    <comment ref="R35" authorId="0" shapeId="0" xr:uid="{00000000-0006-0000-0400-00000C000000}">
      <text>
        <r>
          <rPr>
            <sz val="11"/>
            <rFont val="Calibri"/>
          </rPr>
          <t>The NSX-T Tier-1 Gateway Firewall must deny network communications traffic by default and allow network communications traffic by exception (i.e., deny all, permit by exception).</t>
        </r>
      </text>
    </comment>
    <comment ref="S35" authorId="0" shapeId="0" xr:uid="{00000000-0006-0000-0400-00000D000000}">
      <text>
        <r>
          <rPr>
            <sz val="11"/>
            <rFont val="Calibri"/>
          </rPr>
          <t>The NSX-T Tier-1 Gateway Firewall must apply ingress filters to traffic that is inbound to the network through any active external interface.</t>
        </r>
      </text>
    </comment>
    <comment ref="J39" authorId="0" shapeId="0" xr:uid="{00000000-0006-0000-0400-000010000000}">
      <text>
        <r>
          <rPr>
            <sz val="11"/>
            <rFont val="Calibri"/>
          </rPr>
          <t>The NSX-T Tier-0 Gateway must be configured to disable Protocol Independent Multicast (PIM) on all interfaces that are not required to support multicast routing.</t>
        </r>
      </text>
    </comment>
    <comment ref="K39" authorId="0" shapeId="0" xr:uid="{00000000-0006-0000-0400-000012000000}">
      <text>
        <r>
          <rPr>
            <sz val="11"/>
            <rFont val="Calibri"/>
          </rPr>
          <t>The NSX-T Tier-0 Gateway must be configured to have all inactive interfaces removed.</t>
        </r>
      </text>
    </comment>
    <comment ref="L39" authorId="0" shapeId="0" xr:uid="{00000000-0006-0000-0400-000013000000}">
      <text>
        <r>
          <rPr>
            <sz val="11"/>
            <rFont val="Calibri"/>
          </rPr>
          <t>The NSX-T Tier-0 Gateway must be configured to have the DHCP service disabled if not in use.</t>
        </r>
      </text>
    </comment>
    <comment ref="M39" authorId="0" shapeId="0" xr:uid="{00000000-0006-0000-0400-000014000000}">
      <text>
        <r>
          <rPr>
            <sz val="11"/>
            <rFont val="Calibri"/>
          </rPr>
          <t>The NSX-T Tier-0 Gateway must be configured to use its loopback address as the source address for iBGP peering sessions.</t>
        </r>
      </text>
    </comment>
    <comment ref="N39" authorId="0" shapeId="0" xr:uid="{00000000-0006-0000-0400-000015000000}">
      <text>
        <r>
          <rPr>
            <sz val="11"/>
            <rFont val="Calibri"/>
          </rPr>
          <t>The NSX-T Tier-0 Gateway must be configured to have routing protocols disabled if not in use.</t>
        </r>
      </text>
    </comment>
    <comment ref="O39" authorId="0" shapeId="0" xr:uid="{00000000-0006-0000-0400-000016000000}">
      <text>
        <r>
          <rPr>
            <sz val="11"/>
            <rFont val="Calibri"/>
          </rPr>
          <t>The NSX-T Tier-0 Gateway must be configured to have multicast disabled if not in use.</t>
        </r>
      </text>
    </comment>
    <comment ref="P39" authorId="0" shapeId="0" xr:uid="{00000000-0006-0000-0400-000017000000}">
      <text>
        <r>
          <rPr>
            <sz val="11"/>
            <rFont val="Calibri"/>
          </rPr>
          <t>The NSX-T Tier-1 Gateway must be configured to have all inactive interfaces removed.</t>
        </r>
      </text>
    </comment>
    <comment ref="Q39" authorId="0" shapeId="0" xr:uid="{00000000-0006-0000-0400-000018000000}">
      <text>
        <r>
          <rPr>
            <sz val="11"/>
            <rFont val="Calibri"/>
          </rPr>
          <t>The NSX-T Tier-1 Gateway must be configured to have the DHCP service disabled if not in use.</t>
        </r>
      </text>
    </comment>
    <comment ref="R39" authorId="0" shapeId="0" xr:uid="{00000000-0006-0000-0400-000019000000}">
      <text>
        <r>
          <rPr>
            <sz val="11"/>
            <rFont val="Calibri"/>
          </rPr>
          <t>The NSX-T Tier-1 Gateway must be configured to have multicast disabled if not in use.</t>
        </r>
      </text>
    </comment>
    <comment ref="S39" authorId="0" shapeId="0" xr:uid="{00000000-0006-0000-0400-00001A000000}">
      <text>
        <r>
          <rPr>
            <sz val="11"/>
            <rFont val="Calibri"/>
          </rPr>
          <t>The NSX-T Manager must disable SSH.</t>
        </r>
      </text>
    </comment>
    <comment ref="T39" authorId="0" shapeId="0" xr:uid="{00000000-0006-0000-0400-000011000000}">
      <text>
        <r>
          <rPr>
            <sz val="11"/>
            <rFont val="Calibri"/>
          </rPr>
          <t>The NSX-T Manager must disable SNMP v2.</t>
        </r>
      </text>
    </comment>
    <comment ref="J41" authorId="0" shapeId="0" xr:uid="{00000000-0006-0000-0400-00001B000000}">
      <text>
        <r>
          <rPr>
            <sz val="11"/>
            <rFont val="Calibri"/>
          </rPr>
          <t>The NSX-T Manager must be configured to enforce the limit of three consecutive invalid logon attempts, after which time it must block any login attempt for 15 minutes.</t>
        </r>
      </text>
    </comment>
    <comment ref="J47" authorId="0" shapeId="0" xr:uid="{00000000-0006-0000-0400-00001C000000}">
      <text>
        <r>
          <rPr>
            <sz val="11"/>
            <rFont val="Calibri"/>
          </rPr>
          <t>The NSX-T Manager must disable unused local accounts.</t>
        </r>
      </text>
    </comment>
    <comment ref="J48" authorId="0" shapeId="0" xr:uid="{00000000-0006-0000-0400-00001D000000}">
      <text>
        <r>
          <rPr>
            <sz val="11"/>
            <rFont val="Calibri"/>
          </rPr>
          <t>NSX-T Manager must restrict the use of configuration, administration, and the execution of privileged commands to authorized personnel based on organization-defined roles.</t>
        </r>
      </text>
    </comment>
    <comment ref="J50" authorId="0" shapeId="0" xr:uid="{00000000-0006-0000-0400-00001E000000}">
      <text>
        <r>
          <rPr>
            <sz val="11"/>
            <rFont val="Calibri"/>
          </rPr>
          <t>The NSX-T Manager must integrate with either VMware Identity Manager (vIDM) or VMware Workspace ONE Access.</t>
        </r>
      </text>
    </comment>
    <comment ref="J64" authorId="0" shapeId="0" xr:uid="{00000000-0006-0000-0400-00001F000000}">
      <text>
        <r>
          <rPr>
            <sz val="11"/>
            <rFont val="Calibri"/>
          </rPr>
          <t>The NSX-T Manager must be running a release that is currently supported by the vendor.</t>
        </r>
      </text>
    </comment>
    <comment ref="J70" authorId="0" shapeId="0" xr:uid="{00000000-0006-0000-0400-000020000000}">
      <text>
        <r>
          <rPr>
            <sz val="11"/>
            <rFont val="Calibri"/>
          </rPr>
          <t>The NSX-T Distributed Firewall must generate traffic log entries containing information to establish the details of the event.</t>
        </r>
      </text>
    </comment>
    <comment ref="K70" authorId="0" shapeId="0" xr:uid="{00000000-0006-0000-0400-000021000000}">
      <text>
        <r>
          <rPr>
            <sz val="11"/>
            <rFont val="Calibri"/>
          </rPr>
          <t>The NSX-T Tier-0 Gateway Firewall must generate traffic log entries containing information to establish the details of the event.</t>
        </r>
      </text>
    </comment>
    <comment ref="L70" authorId="0" shapeId="0" xr:uid="{00000000-0006-0000-0400-000022000000}">
      <text>
        <r>
          <rPr>
            <sz val="11"/>
            <rFont val="Calibri"/>
          </rPr>
          <t>The NSX-T Tier-1 Gateway Firewall must generate traffic log entries containing information to establish what type of events occurred.</t>
        </r>
      </text>
    </comment>
    <comment ref="M70" authorId="0" shapeId="0" xr:uid="{00000000-0006-0000-0400-000023000000}">
      <text>
        <r>
          <rPr>
            <sz val="11"/>
            <rFont val="Calibri"/>
          </rPr>
          <t>The NSX-T Tier-1 Gateway Firewall must generate traffic log entries containing information to establish the details of the event.</t>
        </r>
      </text>
    </comment>
    <comment ref="N70" authorId="0" shapeId="0" xr:uid="{00000000-0006-0000-0400-000024000000}">
      <text>
        <r>
          <rPr>
            <sz val="11"/>
            <rFont val="Calibri"/>
          </rPr>
          <t>The NSX-T Manager must generate audit records when successful/unsuccessful attempts to delete administrator privileges occur.</t>
        </r>
      </text>
    </comment>
    <comment ref="O70" authorId="0" shapeId="0" xr:uid="{00000000-0006-0000-0400-000025000000}">
      <text>
        <r>
          <rPr>
            <sz val="11"/>
            <rFont val="Calibri"/>
          </rPr>
          <t>The NSX-T Manager must be configured to send logs to a central log server.</t>
        </r>
      </text>
    </comment>
    <comment ref="P70" authorId="0" shapeId="0" xr:uid="{00000000-0006-0000-0400-000026000000}">
      <text>
        <r>
          <rPr>
            <sz val="11"/>
            <rFont val="Calibri"/>
          </rPr>
          <t>The NSX-T Manager must generate log records for the info level to capture the DoD-required auditable events.</t>
        </r>
      </text>
    </comment>
    <comment ref="Q70" authorId="0" shapeId="0" xr:uid="{00000000-0006-0000-0400-000027000000}">
      <text>
        <r>
          <rPr>
            <sz val="11"/>
            <rFont val="Calibri"/>
          </rPr>
          <t>The NSX-T Manager must be configured to send log data to a central log server for the purpose of forwarding alerts to the administrators and the Information System Security Officer (ISSO).</t>
        </r>
      </text>
    </comment>
    <comment ref="J72" authorId="0" shapeId="0" xr:uid="{00000000-0006-0000-0400-000028000000}">
      <text>
        <r>
          <rPr>
            <sz val="11"/>
            <rFont val="Calibri"/>
          </rPr>
          <t>The NSX-T Manager must be configured to synchronize internal information system clocks using redundant authoritative time sources.</t>
        </r>
      </text>
    </comment>
    <comment ref="K72" authorId="0" shapeId="0" xr:uid="{00000000-0006-0000-0400-000029000000}">
      <text>
        <r>
          <rPr>
            <sz val="11"/>
            <rFont val="Calibri"/>
          </rPr>
          <t>The NSX-T Manager must record time stamps for audit records that can be mapped to Coordinated Universal Time (UTC).</t>
        </r>
      </text>
    </comment>
    <comment ref="J73" authorId="0" shapeId="0" xr:uid="{00000000-0006-0000-0400-00002A000000}">
      <text>
        <r>
          <rPr>
            <sz val="11"/>
            <rFont val="Calibri"/>
          </rPr>
          <t>The NSX-T Distributed Firewall must generate traffic log entries containing information to establish the details of the event.</t>
        </r>
      </text>
    </comment>
    <comment ref="J77" authorId="0" shapeId="0" xr:uid="{00000000-0006-0000-0400-00002B000000}">
      <text>
        <r>
          <rPr>
            <sz val="11"/>
            <rFont val="Calibri"/>
          </rPr>
          <t>The NSX-T Distributed Firewall must be configured to send traffic log entries to a central audit server for management and configuration of the traffic log entries.</t>
        </r>
      </text>
    </comment>
    <comment ref="K77" authorId="0" shapeId="0" xr:uid="{00000000-0006-0000-0400-00002C000000}">
      <text>
        <r>
          <rPr>
            <sz val="11"/>
            <rFont val="Calibri"/>
          </rPr>
          <t>The NSX-T Tier-1 Gateway Firewall must be configured to send traffic log entries to a central audit server for management and configuration of the traffic log entries.</t>
        </r>
      </text>
    </comment>
    <comment ref="L77" authorId="0" shapeId="0" xr:uid="{00000000-0006-0000-0400-00002D000000}">
      <text>
        <r>
          <rPr>
            <sz val="11"/>
            <rFont val="Calibri"/>
          </rPr>
          <t>The NSX-T Manager must be configured to send logs to a central log server.</t>
        </r>
      </text>
    </comment>
    <comment ref="M77" authorId="0" shapeId="0" xr:uid="{00000000-0006-0000-0400-00002E000000}">
      <text>
        <r>
          <rPr>
            <sz val="11"/>
            <rFont val="Calibri"/>
          </rPr>
          <t>The NSX-T Manager must generate log records for the info level to capture the DoD-required auditable events.</t>
        </r>
      </text>
    </comment>
    <comment ref="N77" authorId="0" shapeId="0" xr:uid="{00000000-0006-0000-0400-00002F000000}">
      <text>
        <r>
          <rPr>
            <sz val="11"/>
            <rFont val="Calibri"/>
          </rPr>
          <t>The NSX-T Manager must be configured to send log data to a central log server for the purpose of forwarding alerts to the administrators and the Information System Security Officer (ISSO).</t>
        </r>
      </text>
    </comment>
    <comment ref="J121" authorId="0" shapeId="0" xr:uid="{00000000-0006-0000-0400-000030000000}">
      <text>
        <r>
          <rPr>
            <sz val="11"/>
            <rFont val="Calibri"/>
          </rPr>
          <t>The NSX-T Distributed Firewall must employ filters that prevent or limit the effects of all types of commonly known denial-of-service (DoS) attacks, including flooding, packet sweeps, and unauthorized port scanning.</t>
        </r>
      </text>
    </comment>
    <comment ref="K121" authorId="0" shapeId="0" xr:uid="{00000000-0006-0000-0400-000031000000}">
      <text>
        <r>
          <rPr>
            <sz val="11"/>
            <rFont val="Calibri"/>
          </rPr>
          <t>The NSX-T Tier-0 Gateway Firewall must employ filters that prevent or limit the effects of all types of commonly known denial-of-service (DoS) attacks, including flooding, packet sweeps, and unauthorized port scanning.</t>
        </r>
      </text>
    </comment>
    <comment ref="L121" authorId="0" shapeId="0" xr:uid="{00000000-0006-0000-0400-000032000000}">
      <text>
        <r>
          <rPr>
            <sz val="11"/>
            <rFont val="Calibri"/>
          </rPr>
          <t>The NSX-T Tier-0 Gateway must be configured to enforce a Quality-of-Service (QoS) policy to limit the effects of packet flooding denial-of-service (DoS) attacks.</t>
        </r>
      </text>
    </comment>
    <comment ref="M121" authorId="0" shapeId="0" xr:uid="{00000000-0006-0000-0400-000033000000}">
      <text>
        <r>
          <rPr>
            <sz val="11"/>
            <rFont val="Calibri"/>
          </rPr>
          <t>The NSX-T Tier-0 Gateway must be configured to use the BGP maximum prefixes feature to protect against route table flooding and prefix de-aggregation attacks.</t>
        </r>
      </text>
    </comment>
    <comment ref="N121" authorId="0" shapeId="0" xr:uid="{00000000-0006-0000-0400-000034000000}">
      <text>
        <r>
          <rPr>
            <sz val="11"/>
            <rFont val="Calibri"/>
          </rPr>
          <t>The NSX-T Tier-1 Gateway Firewall must employ filters that prevent or limit the effects of all types of commonly known denial-of-service (DoS) attacks, including flooding, packet sweeps, and unauthorized port scanning.</t>
        </r>
      </text>
    </comment>
    <comment ref="O121" authorId="0" shapeId="0" xr:uid="{00000000-0006-0000-0400-000035000000}">
      <text>
        <r>
          <rPr>
            <sz val="11"/>
            <rFont val="Calibri"/>
          </rPr>
          <t>The NSX-T Tier-1 Gateway must be configured to enforce a Quality-of-Service (QoS) policy to limit the effects of packet flooding denial-of-service (DoS) attacks.</t>
        </r>
      </text>
    </comment>
    <comment ref="P121" authorId="0" shapeId="0" xr:uid="{00000000-0006-0000-0400-000036000000}">
      <text>
        <r>
          <rPr>
            <sz val="11"/>
            <rFont val="Calibri"/>
          </rPr>
          <t>The NSX-T Manager must be configured to protect against known types of denial-of-service (DoS) attacks by employing organization-defined security safeguards.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NSX-T Manager must be configured to enforce the limit of three consecutive invalid logon attempts, after which time it must block any login attempt for 15 minutes.</t>
        </r>
      </text>
    </comment>
    <comment ref="I2" authorId="0" shapeId="0" xr:uid="{00000000-0006-0000-0500-000002000000}">
      <text>
        <r>
          <rPr>
            <sz val="11"/>
            <rFont val="Calibri"/>
          </rPr>
          <t>The NSX-T Manager must prohibit the use of cached authenticators after an organization-defined time period.</t>
        </r>
      </text>
    </comment>
    <comment ref="H3" authorId="0" shapeId="0" xr:uid="{00000000-0006-0000-0500-000003000000}">
      <text>
        <r>
          <rPr>
            <sz val="11"/>
            <rFont val="Calibri"/>
          </rPr>
          <t>The NSX-T Manager must integrate with either VMware Identity Manager (vIDM) or VMware Workspace ONE Access.</t>
        </r>
      </text>
    </comment>
    <comment ref="H7" authorId="0" shapeId="0" xr:uid="{00000000-0006-0000-0500-000004000000}">
      <text>
        <r>
          <rPr>
            <sz val="11"/>
            <rFont val="Calibri"/>
          </rPr>
          <t>The NSX-T Distributed Firewall must generate traffic log entries containing information to establish the details of the event.</t>
        </r>
      </text>
    </comment>
    <comment ref="I7" authorId="0" shapeId="0" xr:uid="{00000000-0006-0000-0500-00000D000000}">
      <text>
        <r>
          <rPr>
            <sz val="11"/>
            <rFont val="Calibri"/>
          </rPr>
          <t>The NSX-T Distributed Firewall must be configured to send traffic log entries to a central audit server for management and configuration of the traffic log entries.</t>
        </r>
      </text>
    </comment>
    <comment ref="J7" authorId="0" shapeId="0" xr:uid="{00000000-0006-0000-0500-000005000000}">
      <text>
        <r>
          <rPr>
            <sz val="11"/>
            <rFont val="Calibri"/>
          </rPr>
          <t>The NSX-T Tier-0 Gateway Firewall must generate traffic log entries containing information to establish the details of the event.</t>
        </r>
      </text>
    </comment>
    <comment ref="K7" authorId="0" shapeId="0" xr:uid="{00000000-0006-0000-0500-000006000000}">
      <text>
        <r>
          <rPr>
            <sz val="11"/>
            <rFont val="Calibri"/>
          </rPr>
          <t>The NSX-T Tier-1 Gateway Firewall must generate traffic log entries containing information to establish what type of events occurred.</t>
        </r>
      </text>
    </comment>
    <comment ref="L7" authorId="0" shapeId="0" xr:uid="{00000000-0006-0000-0500-000007000000}">
      <text>
        <r>
          <rPr>
            <sz val="11"/>
            <rFont val="Calibri"/>
          </rPr>
          <t>The NSX-T Tier-1 Gateway Firewall must generate traffic log entries containing information to establish the details of the event.</t>
        </r>
      </text>
    </comment>
    <comment ref="M7" authorId="0" shapeId="0" xr:uid="{00000000-0006-0000-0500-000008000000}">
      <text>
        <r>
          <rPr>
            <sz val="11"/>
            <rFont val="Calibri"/>
          </rPr>
          <t>The NSX-T Tier-1 Gateway Firewall must be configured to send traffic log entries to a central audit server for management and configuration of the traffic log entries.</t>
        </r>
      </text>
    </comment>
    <comment ref="N7" authorId="0" shapeId="0" xr:uid="{00000000-0006-0000-0500-000009000000}">
      <text>
        <r>
          <rPr>
            <sz val="11"/>
            <rFont val="Calibri"/>
          </rPr>
          <t>The NSX-T Manager must generate audit records when successful/unsuccessful attempts to delete administrator privileges occur.</t>
        </r>
      </text>
    </comment>
    <comment ref="O7" authorId="0" shapeId="0" xr:uid="{00000000-0006-0000-0500-00000A000000}">
      <text>
        <r>
          <rPr>
            <sz val="11"/>
            <rFont val="Calibri"/>
          </rPr>
          <t>The NSX-T Manager must be configured to send logs to a central log server.</t>
        </r>
      </text>
    </comment>
    <comment ref="P7" authorId="0" shapeId="0" xr:uid="{00000000-0006-0000-0500-00000B000000}">
      <text>
        <r>
          <rPr>
            <sz val="11"/>
            <rFont val="Calibri"/>
          </rPr>
          <t>The NSX-T Manager must generate log records for the info level to capture the DoD-required auditable events.</t>
        </r>
      </text>
    </comment>
    <comment ref="Q7" authorId="0" shapeId="0" xr:uid="{00000000-0006-0000-0500-00000C000000}">
      <text>
        <r>
          <rPr>
            <sz val="11"/>
            <rFont val="Calibri"/>
          </rPr>
          <t>The NSX-T Manager must be configured to send log data to a central log server for the purpose of forwarding alerts to the administrators and the Information System Security Officer (ISSO).</t>
        </r>
      </text>
    </comment>
    <comment ref="H13" authorId="0" shapeId="0" xr:uid="{00000000-0006-0000-0500-00000E000000}">
      <text>
        <r>
          <rPr>
            <sz val="11"/>
            <rFont val="Calibri"/>
          </rPr>
          <t>The NSX-T Manager must not provide environment information to third parties.</t>
        </r>
      </text>
    </comment>
    <comment ref="H14" authorId="0" shapeId="0" xr:uid="{00000000-0006-0000-0500-00000F000000}">
      <text>
        <r>
          <rPr>
            <sz val="11"/>
            <rFont val="Calibri"/>
          </rPr>
          <t>The NSX-T Tier-0 Gateway must be configured to disable Protocol Independent Multicast (PIM) on all interfaces that are not required to support multicast routing.</t>
        </r>
      </text>
    </comment>
    <comment ref="I14" authorId="0" shapeId="0" xr:uid="{00000000-0006-0000-0500-000011000000}">
      <text>
        <r>
          <rPr>
            <sz val="11"/>
            <rFont val="Calibri"/>
          </rPr>
          <t>The NSX-T Tier-0 Gateway must be configured to have all inactive interfaces removed.</t>
        </r>
      </text>
    </comment>
    <comment ref="J14" authorId="0" shapeId="0" xr:uid="{00000000-0006-0000-0500-000012000000}">
      <text>
        <r>
          <rPr>
            <sz val="11"/>
            <rFont val="Calibri"/>
          </rPr>
          <t>The NSX-T Tier-0 Gateway must be configured to have the DHCP service disabled if not in use.</t>
        </r>
      </text>
    </comment>
    <comment ref="K14" authorId="0" shapeId="0" xr:uid="{00000000-0006-0000-0500-000013000000}">
      <text>
        <r>
          <rPr>
            <sz val="11"/>
            <rFont val="Calibri"/>
          </rPr>
          <t>The NSX-T Tier-0 Gateway must be configured to use its loopback address as the source address for iBGP peering sessions.</t>
        </r>
      </text>
    </comment>
    <comment ref="L14" authorId="0" shapeId="0" xr:uid="{00000000-0006-0000-0500-000014000000}">
      <text>
        <r>
          <rPr>
            <sz val="11"/>
            <rFont val="Calibri"/>
          </rPr>
          <t>The NSX-T Tier-0 Gateway must be configured to have routing protocols disabled if not in use.</t>
        </r>
      </text>
    </comment>
    <comment ref="M14" authorId="0" shapeId="0" xr:uid="{00000000-0006-0000-0500-000015000000}">
      <text>
        <r>
          <rPr>
            <sz val="11"/>
            <rFont val="Calibri"/>
          </rPr>
          <t>The NSX-T Tier-0 Gateway must be configured to have multicast disabled if not in use.</t>
        </r>
      </text>
    </comment>
    <comment ref="N14" authorId="0" shapeId="0" xr:uid="{00000000-0006-0000-0500-000016000000}">
      <text>
        <r>
          <rPr>
            <sz val="11"/>
            <rFont val="Calibri"/>
          </rPr>
          <t>The NSX-T Tier-1 Gateway must be configured to have all inactive interfaces removed.</t>
        </r>
      </text>
    </comment>
    <comment ref="O14" authorId="0" shapeId="0" xr:uid="{00000000-0006-0000-0500-000017000000}">
      <text>
        <r>
          <rPr>
            <sz val="11"/>
            <rFont val="Calibri"/>
          </rPr>
          <t>The NSX-T Tier-1 Gateway must be configured to have the DHCP service disabled if not in use.</t>
        </r>
      </text>
    </comment>
    <comment ref="P14" authorId="0" shapeId="0" xr:uid="{00000000-0006-0000-0500-000018000000}">
      <text>
        <r>
          <rPr>
            <sz val="11"/>
            <rFont val="Calibri"/>
          </rPr>
          <t>The NSX-T Tier-1 Gateway must be configured to have multicast disabled if not in use.</t>
        </r>
      </text>
    </comment>
    <comment ref="Q14" authorId="0" shapeId="0" xr:uid="{00000000-0006-0000-0500-000019000000}">
      <text>
        <r>
          <rPr>
            <sz val="11"/>
            <rFont val="Calibri"/>
          </rPr>
          <t>The NSX-T Manager must disable SSH.</t>
        </r>
      </text>
    </comment>
    <comment ref="R14" authorId="0" shapeId="0" xr:uid="{00000000-0006-0000-0500-000010000000}">
      <text>
        <r>
          <rPr>
            <sz val="11"/>
            <rFont val="Calibri"/>
          </rPr>
          <t>The NSX-T Manager must disable SNMP v2.</t>
        </r>
      </text>
    </comment>
    <comment ref="H16" authorId="0" shapeId="0" xr:uid="{00000000-0006-0000-0500-00001A000000}">
      <text>
        <r>
          <rPr>
            <sz val="11"/>
            <rFont val="Calibri"/>
          </rPr>
          <t>The NSX-T Tier-0 Gateway Firewall must be configured to use the TLS or LI-TLS protocols to configure and secure communications with the central audit server.</t>
        </r>
      </text>
    </comment>
    <comment ref="I16" authorId="0" shapeId="0" xr:uid="{00000000-0006-0000-0500-00001B000000}">
      <text>
        <r>
          <rPr>
            <sz val="11"/>
            <rFont val="Calibri"/>
          </rPr>
          <t>The NSX-T Tier-0 Gateway must be configured to implement message authentication for all control plane protocols.</t>
        </r>
      </text>
    </comment>
    <comment ref="J16" authorId="0" shapeId="0" xr:uid="{00000000-0006-0000-0500-00001C000000}">
      <text>
        <r>
          <rPr>
            <sz val="11"/>
            <rFont val="Calibri"/>
          </rPr>
          <t>Each NSX-T Edge Node configured to host a Tier-1 Gateway Firewall must be configured to use the TLS or LI-TLS protocols to configure and secure traffic log records.</t>
        </r>
      </text>
    </comment>
    <comment ref="K16" authorId="0" shapeId="0" xr:uid="{00000000-0006-0000-0500-00001D000000}">
      <text>
        <r>
          <rPr>
            <sz val="11"/>
            <rFont val="Calibri"/>
          </rPr>
          <t>The NSX-T Manager must obtain its public key certificates from an approved DoD certificate authority.</t>
        </r>
      </text>
    </comment>
    <comment ref="L16" authorId="0" shapeId="0" xr:uid="{00000000-0006-0000-0500-00001E000000}">
      <text>
        <r>
          <rPr>
            <sz val="11"/>
            <rFont val="Calibri"/>
          </rPr>
          <t>The NSX-T Manager must disable TLS 1.1 and enable TLS 1.2.</t>
        </r>
      </text>
    </comment>
    <comment ref="M16" authorId="0" shapeId="0" xr:uid="{00000000-0006-0000-0500-00001F000000}">
      <text>
        <r>
          <rPr>
            <sz val="11"/>
            <rFont val="Calibri"/>
          </rPr>
          <t>The NSX-T Manager must enable the global FIPS compliance mode for load balancers.</t>
        </r>
      </text>
    </comment>
    <comment ref="H20" authorId="0" shapeId="0" xr:uid="{00000000-0006-0000-0500-000020000000}">
      <text>
        <r>
          <rPr>
            <sz val="11"/>
            <rFont val="Calibri"/>
          </rPr>
          <t>The NSX-T Distributed Firewall must block outbound traffic containing denial-of-service (DoS) attacks to protect against the use of internal information systems to launch any DoS attacks against other networks or endpoints.</t>
        </r>
      </text>
    </comment>
    <comment ref="I20" authorId="0" shapeId="0" xr:uid="{00000000-0006-0000-0500-000025000000}">
      <text>
        <r>
          <rPr>
            <sz val="11"/>
            <rFont val="Calibri"/>
          </rPr>
          <t>The NSX-T Distributed Firewall must deny network communications traffic by default and allow network communications traffic by exception (i.e., deny all, permit by exception).</t>
        </r>
      </text>
    </comment>
    <comment ref="J20" authorId="0" shapeId="0" xr:uid="{00000000-0006-0000-0500-000026000000}">
      <text>
        <r>
          <rPr>
            <sz val="11"/>
            <rFont val="Calibri"/>
          </rPr>
          <t>The NSX-T Distributed Firewall must configure SpoofGuard to block outbound IP packets that contain illegitimate packet attributes.</t>
        </r>
      </text>
    </comment>
    <comment ref="K20" authorId="0" shapeId="0" xr:uid="{00000000-0006-0000-0500-000027000000}">
      <text>
        <r>
          <rPr>
            <sz val="11"/>
            <rFont val="Calibri"/>
          </rPr>
          <t>The NSX-T Distributed Firewall must verify time-based firewall rules.</t>
        </r>
      </text>
    </comment>
    <comment ref="L20" authorId="0" shapeId="0" xr:uid="{00000000-0006-0000-0500-000028000000}">
      <text>
        <r>
          <rPr>
            <sz val="11"/>
            <rFont val="Calibri"/>
          </rPr>
          <t>The NSX-T Tier-0 Gateway Firewall must block outbound traffic containing denial-of-service (DoS) attacks to protect against the use of internal information systems to launch any DoS attacks against other networks or endpoints.</t>
        </r>
      </text>
    </comment>
    <comment ref="M20" authorId="0" shapeId="0" xr:uid="{00000000-0006-0000-0500-000029000000}">
      <text>
        <r>
          <rPr>
            <sz val="11"/>
            <rFont val="Calibri"/>
          </rPr>
          <t>The NSX-T Tier-1 Gateway Firewall must deny network communications traffic by default and allow network communications traffic by exception (i.e., deny all, permit by exception).</t>
        </r>
      </text>
    </comment>
    <comment ref="N20" authorId="0" shapeId="0" xr:uid="{00000000-0006-0000-0500-00002A000000}">
      <text>
        <r>
          <rPr>
            <sz val="11"/>
            <rFont val="Calibri"/>
          </rPr>
          <t>The NSX-T Tier-0 Gateway Firewall must apply ingress filters to traffic that is inbound to the network through any active external interface.</t>
        </r>
      </text>
    </comment>
    <comment ref="O20" authorId="0" shapeId="0" xr:uid="{00000000-0006-0000-0500-00002B000000}">
      <text>
        <r>
          <rPr>
            <sz val="11"/>
            <rFont val="Calibri"/>
          </rPr>
          <t>The NSX-T Tier-0 Gateway Firewall must configure SpoofGuard to block outbound IP packets that contain illegitimate packet attributes.</t>
        </r>
      </text>
    </comment>
    <comment ref="P20" authorId="0" shapeId="0" xr:uid="{00000000-0006-0000-0500-00002C000000}">
      <text>
        <r>
          <rPr>
            <sz val="11"/>
            <rFont val="Calibri"/>
          </rPr>
          <t>The NSX-T Tier-0 Gateway must be configured to reject inbound route advertisements for any prefixes belonging to the local autonomous system (AS).</t>
        </r>
      </text>
    </comment>
    <comment ref="Q20" authorId="0" shapeId="0" xr:uid="{00000000-0006-0000-0500-00002D000000}">
      <text>
        <r>
          <rPr>
            <sz val="11"/>
            <rFont val="Calibri"/>
          </rPr>
          <t>The NSX-T Tier-0 Gateway must be configured to restrict traffic destined to itself.</t>
        </r>
      </text>
    </comment>
    <comment ref="R20" authorId="0" shapeId="0" xr:uid="{00000000-0006-0000-0500-00002E000000}">
      <text>
        <r>
          <rPr>
            <sz val="11"/>
            <rFont val="Calibri"/>
          </rPr>
          <t>Unicast Reverse Path Forwarding (uRPF) must be enabled on the NSX-T Tier-0 Gateway.</t>
        </r>
      </text>
    </comment>
    <comment ref="S20" authorId="0" shapeId="0" xr:uid="{00000000-0006-0000-0500-000021000000}">
      <text>
        <r>
          <rPr>
            <sz val="11"/>
            <rFont val="Calibri"/>
          </rPr>
          <t>The NSX-T Tier-1 Gateway Firewall must block outbound traffic containing denial-of-service (DoS) attacks to protect against the use of internal information systems to launch any DoS attacks against other networks or endpoints.</t>
        </r>
      </text>
    </comment>
    <comment ref="T20" authorId="0" shapeId="0" xr:uid="{00000000-0006-0000-0500-000022000000}">
      <text>
        <r>
          <rPr>
            <sz val="11"/>
            <rFont val="Calibri"/>
          </rPr>
          <t>The NSX-T Tier-1 Gateway Firewall must deny network communications traffic by default and allow network communications traffic by exception (i.e., deny all, permit by exception).</t>
        </r>
      </text>
    </comment>
    <comment ref="U20" authorId="0" shapeId="0" xr:uid="{00000000-0006-0000-0500-000023000000}">
      <text>
        <r>
          <rPr>
            <sz val="11"/>
            <rFont val="Calibri"/>
          </rPr>
          <t>The NSX-T Tier-1 Gateway Firewall must apply ingress filters to traffic that is inbound to the network through any active external interface.</t>
        </r>
      </text>
    </comment>
    <comment ref="V20" authorId="0" shapeId="0" xr:uid="{00000000-0006-0000-0500-000024000000}">
      <text>
        <r>
          <rPr>
            <sz val="11"/>
            <rFont val="Calibri"/>
          </rPr>
          <t>The NSX-T Tier-1 Gateway Firewall must configure SpoofGuard to block outbound IP packets that contain illegitimate packet attributes.</t>
        </r>
      </text>
    </comment>
    <comment ref="H27" authorId="0" shapeId="0" xr:uid="{00000000-0006-0000-0500-00002F000000}">
      <text>
        <r>
          <rPr>
            <sz val="11"/>
            <rFont val="Calibri"/>
          </rPr>
          <t>The NSX-T Tier-0 Gateway must be configured to have Internet Control Message Protocol (ICMP) unreachable notifications disabled on all external interfaces.</t>
        </r>
      </text>
    </comment>
    <comment ref="I27" authorId="0" shapeId="0" xr:uid="{00000000-0006-0000-0500-000030000000}">
      <text>
        <r>
          <rPr>
            <sz val="11"/>
            <rFont val="Calibri"/>
          </rPr>
          <t>The NSX-T Tier-0 Gateway must be configured to have Internet Control Message Protocol (ICMP) mask replies disabled on all external interfaces.</t>
        </r>
      </text>
    </comment>
    <comment ref="J27" authorId="0" shapeId="0" xr:uid="{00000000-0006-0000-0500-000031000000}">
      <text>
        <r>
          <rPr>
            <sz val="11"/>
            <rFont val="Calibri"/>
          </rPr>
          <t>The NSX-T Tier-0 Gateway must be configured to have Internet Control Message Protocol (ICMP) redirects disabled on all external interfaces.</t>
        </r>
      </text>
    </comment>
    <comment ref="H29" authorId="0" shapeId="0" xr:uid="{00000000-0006-0000-0500-000032000000}">
      <text>
        <r>
          <rPr>
            <sz val="11"/>
            <rFont val="Calibri"/>
          </rPr>
          <t>The NSX-T Tier-0 Gateway must be configured to use a unique key for each autonomous system (AS) with which it peers.</t>
        </r>
      </text>
    </comment>
    <comment ref="I29" authorId="0" shapeId="0" xr:uid="{00000000-0006-0000-0500-000033000000}">
      <text>
        <r>
          <rPr>
            <sz val="11"/>
            <rFont val="Calibri"/>
          </rPr>
          <t>The NSX-T Manager must enforce a minimum 15-character password length.</t>
        </r>
      </text>
    </comment>
    <comment ref="H31" authorId="0" shapeId="0" xr:uid="{00000000-0006-0000-0500-000034000000}">
      <text>
        <r>
          <rPr>
            <sz val="11"/>
            <rFont val="Calibri"/>
          </rPr>
          <t>NSX-T Manager must restrict the use of configuration, administration, and the execution of privileged commands to authorized personnel based on organization-defined roles.</t>
        </r>
      </text>
    </comment>
    <comment ref="H41" authorId="0" shapeId="0" xr:uid="{00000000-0006-0000-0500-000035000000}">
      <text>
        <r>
          <rPr>
            <sz val="11"/>
            <rFont val="Calibri"/>
          </rPr>
          <t>The NSX-T Manager must be running a release that is currently supported by the vendor.</t>
        </r>
      </text>
    </comment>
    <comment ref="H43" authorId="0" shapeId="0" xr:uid="{00000000-0006-0000-0500-000036000000}">
      <text>
        <r>
          <rPr>
            <sz val="11"/>
            <rFont val="Calibri"/>
          </rPr>
          <t>The NSX-T Manager must disable unused local accounts.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NSX-T Manager must restrict the use of configuration, administration, and the execution of privileged commands to authorized personnel based on organization-defined roles.</t>
        </r>
      </text>
    </comment>
    <comment ref="K3" authorId="0" shapeId="0" xr:uid="{00000000-0006-0000-0600-000002000000}">
      <text>
        <r>
          <rPr>
            <sz val="11"/>
            <rFont val="Calibri"/>
          </rPr>
          <t>The NSX-T Manager must disable unused local accounts.</t>
        </r>
      </text>
    </comment>
    <comment ref="J7" authorId="0" shapeId="0" xr:uid="{00000000-0006-0000-0600-000003000000}">
      <text>
        <r>
          <rPr>
            <sz val="11"/>
            <rFont val="Calibri"/>
          </rPr>
          <t>NSX-T Manager must restrict the use of configuration, administration, and the execution of privileged commands to authorized personnel based on organization-defined roles.</t>
        </r>
      </text>
    </comment>
    <comment ref="J10" authorId="0" shapeId="0" xr:uid="{00000000-0006-0000-0600-000004000000}">
      <text>
        <r>
          <rPr>
            <sz val="11"/>
            <rFont val="Calibri"/>
          </rPr>
          <t>The NSX-T Manager must be configured to enforce the limit of three consecutive invalid logon attempts, after which time it must block any login attempt for 15 minutes.</t>
        </r>
      </text>
    </comment>
    <comment ref="J12" authorId="0" shapeId="0" xr:uid="{00000000-0006-0000-0600-000005000000}">
      <text>
        <r>
          <rPr>
            <sz val="11"/>
            <rFont val="Calibri"/>
          </rPr>
          <t>The NSX-T Manager must terminate the device management session at the end of the session or after 10 minutes of inactivity.</t>
        </r>
      </text>
    </comment>
    <comment ref="J13" authorId="0" shapeId="0" xr:uid="{00000000-0006-0000-0600-000006000000}">
      <text>
        <r>
          <rPr>
            <sz val="11"/>
            <rFont val="Calibri"/>
          </rPr>
          <t>The NSX-T Manager must terminate the device management session at the end of the session or after 10 minutes of inactivity.</t>
        </r>
      </text>
    </comment>
    <comment ref="J23" authorId="0" shapeId="0" xr:uid="{00000000-0006-0000-0600-000007000000}">
      <text>
        <r>
          <rPr>
            <sz val="11"/>
            <rFont val="Calibri"/>
          </rPr>
          <t>The NSX-T Distributed Firewall must generate traffic log entries containing information to establish the details of the event.</t>
        </r>
      </text>
    </comment>
    <comment ref="K23" authorId="0" shapeId="0" xr:uid="{00000000-0006-0000-0600-000010000000}">
      <text>
        <r>
          <rPr>
            <sz val="11"/>
            <rFont val="Calibri"/>
          </rPr>
          <t>The NSX-T Distributed Firewall must be configured to send traffic log entries to a central audit server for management and configuration of the traffic log entries.</t>
        </r>
      </text>
    </comment>
    <comment ref="L23" authorId="0" shapeId="0" xr:uid="{00000000-0006-0000-0600-000008000000}">
      <text>
        <r>
          <rPr>
            <sz val="11"/>
            <rFont val="Calibri"/>
          </rPr>
          <t>The NSX-T Tier-0 Gateway Firewall must generate traffic log entries containing information to establish the details of the event.</t>
        </r>
      </text>
    </comment>
    <comment ref="M23" authorId="0" shapeId="0" xr:uid="{00000000-0006-0000-0600-000009000000}">
      <text>
        <r>
          <rPr>
            <sz val="11"/>
            <rFont val="Calibri"/>
          </rPr>
          <t>The NSX-T Tier-1 Gateway Firewall must generate traffic log entries containing information to establish what type of events occurred.</t>
        </r>
      </text>
    </comment>
    <comment ref="N23" authorId="0" shapeId="0" xr:uid="{00000000-0006-0000-0600-00000A000000}">
      <text>
        <r>
          <rPr>
            <sz val="11"/>
            <rFont val="Calibri"/>
          </rPr>
          <t>The NSX-T Tier-1 Gateway Firewall must generate traffic log entries containing information to establish the details of the event.</t>
        </r>
      </text>
    </comment>
    <comment ref="O23" authorId="0" shapeId="0" xr:uid="{00000000-0006-0000-0600-00000B000000}">
      <text>
        <r>
          <rPr>
            <sz val="11"/>
            <rFont val="Calibri"/>
          </rPr>
          <t>The NSX-T Tier-1 Gateway Firewall must be configured to send traffic log entries to a central audit server for management and configuration of the traffic log entries.</t>
        </r>
      </text>
    </comment>
    <comment ref="P23" authorId="0" shapeId="0" xr:uid="{00000000-0006-0000-0600-00000C000000}">
      <text>
        <r>
          <rPr>
            <sz val="11"/>
            <rFont val="Calibri"/>
          </rPr>
          <t>The NSX-T Manager must generate audit records when successful/unsuccessful attempts to delete administrator privileges occur.</t>
        </r>
      </text>
    </comment>
    <comment ref="Q23" authorId="0" shapeId="0" xr:uid="{00000000-0006-0000-0600-00000D000000}">
      <text>
        <r>
          <rPr>
            <sz val="11"/>
            <rFont val="Calibri"/>
          </rPr>
          <t>The NSX-T Manager must be configured to send logs to a central log server.</t>
        </r>
      </text>
    </comment>
    <comment ref="R23" authorId="0" shapeId="0" xr:uid="{00000000-0006-0000-0600-00000E000000}">
      <text>
        <r>
          <rPr>
            <sz val="11"/>
            <rFont val="Calibri"/>
          </rPr>
          <t>The NSX-T Manager must generate log records for the info level to capture the DoD-required auditable events.</t>
        </r>
      </text>
    </comment>
    <comment ref="S23" authorId="0" shapeId="0" xr:uid="{00000000-0006-0000-0600-00000F000000}">
      <text>
        <r>
          <rPr>
            <sz val="11"/>
            <rFont val="Calibri"/>
          </rPr>
          <t>The NSX-T Manager must be configured to send log data to a central log server for the purpose of forwarding alerts to the administrators and the Information System Security Officer (ISSO).</t>
        </r>
      </text>
    </comment>
    <comment ref="J24" authorId="0" shapeId="0" xr:uid="{00000000-0006-0000-0600-000011000000}">
      <text>
        <r>
          <rPr>
            <sz val="11"/>
            <rFont val="Calibri"/>
          </rPr>
          <t>The NSX-T Distributed Firewall must generate traffic log entries containing information to establish the details of the event.</t>
        </r>
      </text>
    </comment>
    <comment ref="K24" authorId="0" shapeId="0" xr:uid="{00000000-0006-0000-0600-000012000000}">
      <text>
        <r>
          <rPr>
            <sz val="11"/>
            <rFont val="Calibri"/>
          </rPr>
          <t>The NSX-T Tier-0 Gateway Firewall must generate traffic log entries containing information to establish the details of the event.</t>
        </r>
      </text>
    </comment>
    <comment ref="L24" authorId="0" shapeId="0" xr:uid="{00000000-0006-0000-0600-000013000000}">
      <text>
        <r>
          <rPr>
            <sz val="11"/>
            <rFont val="Calibri"/>
          </rPr>
          <t>The NSX-T Tier-1 Gateway Firewall must generate traffic log entries containing information to establish what type of events occurred.</t>
        </r>
      </text>
    </comment>
    <comment ref="M24" authorId="0" shapeId="0" xr:uid="{00000000-0006-0000-0600-000014000000}">
      <text>
        <r>
          <rPr>
            <sz val="11"/>
            <rFont val="Calibri"/>
          </rPr>
          <t>The NSX-T Tier-1 Gateway Firewall must generate traffic log entries containing information to establish the details of the event.</t>
        </r>
      </text>
    </comment>
    <comment ref="J25" authorId="0" shapeId="0" xr:uid="{00000000-0006-0000-0600-000015000000}">
      <text>
        <r>
          <rPr>
            <sz val="11"/>
            <rFont val="Calibri"/>
          </rPr>
          <t>The NSX-T Distributed Firewall must be configured to send traffic log entries to a central audit server for management and configuration of the traffic log entries.</t>
        </r>
      </text>
    </comment>
    <comment ref="K25" authorId="0" shapeId="0" xr:uid="{00000000-0006-0000-0600-000016000000}">
      <text>
        <r>
          <rPr>
            <sz val="11"/>
            <rFont val="Calibri"/>
          </rPr>
          <t>The NSX-T Tier-1 Gateway Firewall must be configured to send traffic log entries to a central audit server for management and configuration of the traffic log entries.</t>
        </r>
      </text>
    </comment>
    <comment ref="L25" authorId="0" shapeId="0" xr:uid="{00000000-0006-0000-0600-000017000000}">
      <text>
        <r>
          <rPr>
            <sz val="11"/>
            <rFont val="Calibri"/>
          </rPr>
          <t>The NSX-T Manager must be configured to send logs to a central log server.</t>
        </r>
      </text>
    </comment>
    <comment ref="M25" authorId="0" shapeId="0" xr:uid="{00000000-0006-0000-0600-000018000000}">
      <text>
        <r>
          <rPr>
            <sz val="11"/>
            <rFont val="Calibri"/>
          </rPr>
          <t>The NSX-T Manager must generate log records for the info level to capture the DoD-required auditable events.</t>
        </r>
      </text>
    </comment>
    <comment ref="N25" authorId="0" shapeId="0" xr:uid="{00000000-0006-0000-0600-000019000000}">
      <text>
        <r>
          <rPr>
            <sz val="11"/>
            <rFont val="Calibri"/>
          </rPr>
          <t>The NSX-T Manager must be configured to send log data to a central log server for the purpose of forwarding alerts to the administrators and the Information System Security Officer (ISSO).</t>
        </r>
      </text>
    </comment>
    <comment ref="J29" authorId="0" shapeId="0" xr:uid="{00000000-0006-0000-0600-00001A000000}">
      <text>
        <r>
          <rPr>
            <sz val="11"/>
            <rFont val="Calibri"/>
          </rPr>
          <t>The NSX-T Manager must be configured to synchronize internal information system clocks using redundant authoritative time sources.</t>
        </r>
      </text>
    </comment>
    <comment ref="K29" authorId="0" shapeId="0" xr:uid="{00000000-0006-0000-0600-00001B000000}">
      <text>
        <r>
          <rPr>
            <sz val="11"/>
            <rFont val="Calibri"/>
          </rPr>
          <t>The NSX-T Manager must record time stamps for audit records that can be mapped to Coordinated Universal Time (UTC).</t>
        </r>
      </text>
    </comment>
    <comment ref="J33" authorId="0" shapeId="0" xr:uid="{00000000-0006-0000-0600-00001C000000}">
      <text>
        <r>
          <rPr>
            <sz val="11"/>
            <rFont val="Calibri"/>
          </rPr>
          <t>The NSX-T Distributed Firewall must verify time-based firewall rules.</t>
        </r>
      </text>
    </comment>
    <comment ref="K33" authorId="0" shapeId="0" xr:uid="{00000000-0006-0000-0600-00001D000000}">
      <text>
        <r>
          <rPr>
            <sz val="11"/>
            <rFont val="Calibri"/>
          </rPr>
          <t>The NSX-T Tier-0 Gateway must be configured to have Internet Control Message Protocol (ICMP) unreachable notifications disabled on all external interfaces.</t>
        </r>
      </text>
    </comment>
    <comment ref="L33" authorId="0" shapeId="0" xr:uid="{00000000-0006-0000-0600-00001E000000}">
      <text>
        <r>
          <rPr>
            <sz val="11"/>
            <rFont val="Calibri"/>
          </rPr>
          <t>The NSX-T Tier-0 Gateway must be configured to have Internet Control Message Protocol (ICMP) mask replies disabled on all external interfaces.</t>
        </r>
      </text>
    </comment>
    <comment ref="M33" authorId="0" shapeId="0" xr:uid="{00000000-0006-0000-0600-00001F000000}">
      <text>
        <r>
          <rPr>
            <sz val="11"/>
            <rFont val="Calibri"/>
          </rPr>
          <t>The NSX-T Tier-0 Gateway must be configured to have Internet Control Message Protocol (ICMP) redirects disabled on all external interfaces.</t>
        </r>
      </text>
    </comment>
    <comment ref="J37" authorId="0" shapeId="0" xr:uid="{00000000-0006-0000-0600-000020000000}">
      <text>
        <r>
          <rPr>
            <sz val="11"/>
            <rFont val="Calibri"/>
          </rPr>
          <t>The NSX-T Tier-0 Gateway must be configured to disable Protocol Independent Multicast (PIM) on all interfaces that are not required to support multicast routing.</t>
        </r>
      </text>
    </comment>
    <comment ref="K37" authorId="0" shapeId="0" xr:uid="{00000000-0006-0000-0600-000023000000}">
      <text>
        <r>
          <rPr>
            <sz val="11"/>
            <rFont val="Calibri"/>
          </rPr>
          <t>The NSX-T Tier-0 Gateway must be configured to have all inactive interfaces removed.</t>
        </r>
      </text>
    </comment>
    <comment ref="L37" authorId="0" shapeId="0" xr:uid="{00000000-0006-0000-0600-000024000000}">
      <text>
        <r>
          <rPr>
            <sz val="11"/>
            <rFont val="Calibri"/>
          </rPr>
          <t>The NSX-T Tier-0 Gateway must be configured to have the DHCP service disabled if not in use.</t>
        </r>
      </text>
    </comment>
    <comment ref="M37" authorId="0" shapeId="0" xr:uid="{00000000-0006-0000-0600-000025000000}">
      <text>
        <r>
          <rPr>
            <sz val="11"/>
            <rFont val="Calibri"/>
          </rPr>
          <t>The NSX-T Tier-0 Gateway must be configured to use its loopback address as the source address for iBGP peering sessions.</t>
        </r>
      </text>
    </comment>
    <comment ref="N37" authorId="0" shapeId="0" xr:uid="{00000000-0006-0000-0600-000026000000}">
      <text>
        <r>
          <rPr>
            <sz val="11"/>
            <rFont val="Calibri"/>
          </rPr>
          <t>The NSX-T Tier-0 Gateway must be configured to have routing protocols disabled if not in use.</t>
        </r>
      </text>
    </comment>
    <comment ref="O37" authorId="0" shapeId="0" xr:uid="{00000000-0006-0000-0600-000027000000}">
      <text>
        <r>
          <rPr>
            <sz val="11"/>
            <rFont val="Calibri"/>
          </rPr>
          <t>The NSX-T Tier-0 Gateway must be configured to have multicast disabled if not in use.</t>
        </r>
      </text>
    </comment>
    <comment ref="P37" authorId="0" shapeId="0" xr:uid="{00000000-0006-0000-0600-000028000000}">
      <text>
        <r>
          <rPr>
            <sz val="11"/>
            <rFont val="Calibri"/>
          </rPr>
          <t>The NSX-T Tier-1 Gateway must be configured to have all inactive interfaces removed.</t>
        </r>
      </text>
    </comment>
    <comment ref="Q37" authorId="0" shapeId="0" xr:uid="{00000000-0006-0000-0600-000029000000}">
      <text>
        <r>
          <rPr>
            <sz val="11"/>
            <rFont val="Calibri"/>
          </rPr>
          <t>The NSX-T Tier-1 Gateway must be configured to have the DHCP service disabled if not in use.</t>
        </r>
      </text>
    </comment>
    <comment ref="R37" authorId="0" shapeId="0" xr:uid="{00000000-0006-0000-0600-00002A000000}">
      <text>
        <r>
          <rPr>
            <sz val="11"/>
            <rFont val="Calibri"/>
          </rPr>
          <t>The NSX-T Tier-1 Gateway must be configured to have multicast disabled if not in use.</t>
        </r>
      </text>
    </comment>
    <comment ref="S37" authorId="0" shapeId="0" xr:uid="{00000000-0006-0000-0600-00002B000000}">
      <text>
        <r>
          <rPr>
            <sz val="11"/>
            <rFont val="Calibri"/>
          </rPr>
          <t>The NSX-T Manager must not provide environment information to third parties.</t>
        </r>
      </text>
    </comment>
    <comment ref="T37" authorId="0" shapeId="0" xr:uid="{00000000-0006-0000-0600-000021000000}">
      <text>
        <r>
          <rPr>
            <sz val="11"/>
            <rFont val="Calibri"/>
          </rPr>
          <t>The NSX-T Manager must disable SSH.</t>
        </r>
      </text>
    </comment>
    <comment ref="U37" authorId="0" shapeId="0" xr:uid="{00000000-0006-0000-0600-000022000000}">
      <text>
        <r>
          <rPr>
            <sz val="11"/>
            <rFont val="Calibri"/>
          </rPr>
          <t>The NSX-T Manager must disable SNMP v2.</t>
        </r>
      </text>
    </comment>
    <comment ref="J43" authorId="0" shapeId="0" xr:uid="{00000000-0006-0000-0600-00002C000000}">
      <text>
        <r>
          <rPr>
            <sz val="11"/>
            <rFont val="Calibri"/>
          </rPr>
          <t>The NSX-T Manager must integrate with either VMware Identity Manager (vIDM) or VMware Workspace ONE Access.</t>
        </r>
      </text>
    </comment>
    <comment ref="J48" authorId="0" shapeId="0" xr:uid="{00000000-0006-0000-0600-00002D000000}">
      <text>
        <r>
          <rPr>
            <sz val="11"/>
            <rFont val="Calibri"/>
          </rPr>
          <t>The NSX-T Tier-0 Gateway must be configured to use a unique key for each autonomous system (AS) with which it peers.</t>
        </r>
      </text>
    </comment>
    <comment ref="K48" authorId="0" shapeId="0" xr:uid="{00000000-0006-0000-0600-00002E000000}">
      <text>
        <r>
          <rPr>
            <sz val="11"/>
            <rFont val="Calibri"/>
          </rPr>
          <t>The NSX-T Manager must enforce a minimum 15-character password length.</t>
        </r>
      </text>
    </comment>
    <comment ref="J50" authorId="0" shapeId="0" xr:uid="{00000000-0006-0000-0600-00002F000000}">
      <text>
        <r>
          <rPr>
            <sz val="11"/>
            <rFont val="Calibri"/>
          </rPr>
          <t>The NSX-T Manager must prohibit the use of cached authenticators after an organization-defined time period.</t>
        </r>
      </text>
    </comment>
    <comment ref="J68" authorId="0" shapeId="0" xr:uid="{00000000-0006-0000-0600-000030000000}">
      <text>
        <r>
          <rPr>
            <sz val="11"/>
            <rFont val="Calibri"/>
          </rPr>
          <t>The NSX-T Controller must be configured as a cluster in active/active mode to preserve any information necessary to determine cause of a system failure and to maintain network operations with least disruption to workload processes and flows.</t>
        </r>
      </text>
    </comment>
    <comment ref="K68" authorId="0" shapeId="0" xr:uid="{00000000-0006-0000-0600-000031000000}">
      <text>
        <r>
          <rPr>
            <sz val="11"/>
            <rFont val="Calibri"/>
          </rPr>
          <t>The NSX-T Controller cluster must  be on separate physical hosts.</t>
        </r>
      </text>
    </comment>
    <comment ref="L68" authorId="0" shapeId="0" xr:uid="{00000000-0006-0000-0600-000032000000}">
      <text>
        <r>
          <rPr>
            <sz val="11"/>
            <rFont val="Calibri"/>
          </rPr>
          <t>The NSX-T Manager must be configured to conduct backups on an organizationally defined schedule.</t>
        </r>
      </text>
    </comment>
    <comment ref="M68" authorId="0" shapeId="0" xr:uid="{00000000-0006-0000-0600-000033000000}">
      <text>
        <r>
          <rPr>
            <sz val="11"/>
            <rFont val="Calibri"/>
          </rPr>
          <t>The NSX-T Manager must support organizational requirements to conduct backups of information system documentation, including security-related documentation, when changes occur or weekly, whichever is sooner.</t>
        </r>
      </text>
    </comment>
    <comment ref="J88" authorId="0" shapeId="0" xr:uid="{00000000-0006-0000-0600-000034000000}">
      <text>
        <r>
          <rPr>
            <sz val="11"/>
            <rFont val="Calibri"/>
          </rPr>
          <t>The NSX-T Distributed Firewall must employ filters that prevent or limit the effects of all types of commonly known denial-of-service (DoS) attacks, including flooding, packet sweeps, and unauthorized port scanning.</t>
        </r>
      </text>
    </comment>
    <comment ref="K88" authorId="0" shapeId="0" xr:uid="{00000000-0006-0000-0600-000037000000}">
      <text>
        <r>
          <rPr>
            <sz val="11"/>
            <rFont val="Calibri"/>
          </rPr>
          <t>The NSX-T Distributed Firewall must configure SpoofGuard to block outbound IP packets that contain illegitimate packet attributes.</t>
        </r>
      </text>
    </comment>
    <comment ref="L88" authorId="0" shapeId="0" xr:uid="{00000000-0006-0000-0600-000038000000}">
      <text>
        <r>
          <rPr>
            <sz val="11"/>
            <rFont val="Calibri"/>
          </rPr>
          <t>The NSX-T Tier-0 Gateway Firewall must employ filters that prevent or limit the effects of all types of commonly known denial-of-service (DoS) attacks, including flooding, packet sweeps, and unauthorized port scanning.</t>
        </r>
      </text>
    </comment>
    <comment ref="M88" authorId="0" shapeId="0" xr:uid="{00000000-0006-0000-0600-000039000000}">
      <text>
        <r>
          <rPr>
            <sz val="11"/>
            <rFont val="Calibri"/>
          </rPr>
          <t>The NSX-T Tier-0 Gateway Firewall must apply ingress filters to traffic that is inbound to the network through any active external interface.</t>
        </r>
      </text>
    </comment>
    <comment ref="N88" authorId="0" shapeId="0" xr:uid="{00000000-0006-0000-0600-00003A000000}">
      <text>
        <r>
          <rPr>
            <sz val="11"/>
            <rFont val="Calibri"/>
          </rPr>
          <t>The NSX-T Tier-0 Gateway Firewall must configure SpoofGuard to block outbound IP packets that contain illegitimate packet attributes.</t>
        </r>
      </text>
    </comment>
    <comment ref="O88" authorId="0" shapeId="0" xr:uid="{00000000-0006-0000-0600-00003B000000}">
      <text>
        <r>
          <rPr>
            <sz val="11"/>
            <rFont val="Calibri"/>
          </rPr>
          <t>The NSX-T Tier-0 Gateway must be configured to reject inbound route advertisements for any prefixes belonging to the local autonomous system (AS).</t>
        </r>
      </text>
    </comment>
    <comment ref="P88" authorId="0" shapeId="0" xr:uid="{00000000-0006-0000-0600-00003C000000}">
      <text>
        <r>
          <rPr>
            <sz val="11"/>
            <rFont val="Calibri"/>
          </rPr>
          <t>The NSX-T Tier-0 Gateway must be configured to enforce a Quality-of-Service (QoS) policy to limit the effects of packet flooding denial-of-service (DoS) attacks.</t>
        </r>
      </text>
    </comment>
    <comment ref="Q88" authorId="0" shapeId="0" xr:uid="{00000000-0006-0000-0600-00003D000000}">
      <text>
        <r>
          <rPr>
            <sz val="11"/>
            <rFont val="Calibri"/>
          </rPr>
          <t>Unicast Reverse Path Forwarding (uRPF) must be enabled on the NSX-T Tier-0 Gateway.</t>
        </r>
      </text>
    </comment>
    <comment ref="R88" authorId="0" shapeId="0" xr:uid="{00000000-0006-0000-0600-00003E000000}">
      <text>
        <r>
          <rPr>
            <sz val="11"/>
            <rFont val="Calibri"/>
          </rPr>
          <t>The NSX-T Tier-0 Gateway must be configured to use the BGP maximum prefixes feature to protect against route table flooding and prefix de-aggregation attacks.</t>
        </r>
      </text>
    </comment>
    <comment ref="S88" authorId="0" shapeId="0" xr:uid="{00000000-0006-0000-0600-00003F000000}">
      <text>
        <r>
          <rPr>
            <sz val="11"/>
            <rFont val="Calibri"/>
          </rPr>
          <t>The NSX-T Tier-1 Gateway Firewall must employ filters that prevent or limit the effects of all types of commonly known denial-of-service (DoS) attacks, including flooding, packet sweeps, and unauthorized port scanning.</t>
        </r>
      </text>
    </comment>
    <comment ref="T88" authorId="0" shapeId="0" xr:uid="{00000000-0006-0000-0600-000040000000}">
      <text>
        <r>
          <rPr>
            <sz val="11"/>
            <rFont val="Calibri"/>
          </rPr>
          <t>The NSX-T Tier-1 Gateway Firewall must apply ingress filters to traffic that is inbound to the network through any active external interface.</t>
        </r>
      </text>
    </comment>
    <comment ref="U88" authorId="0" shapeId="0" xr:uid="{00000000-0006-0000-0600-000041000000}">
      <text>
        <r>
          <rPr>
            <sz val="11"/>
            <rFont val="Calibri"/>
          </rPr>
          <t>The NSX-T Tier-1 Gateway Firewall must configure SpoofGuard to block outbound IP packets that contain illegitimate packet attributes.</t>
        </r>
      </text>
    </comment>
    <comment ref="V88" authorId="0" shapeId="0" xr:uid="{00000000-0006-0000-0600-000035000000}">
      <text>
        <r>
          <rPr>
            <sz val="11"/>
            <rFont val="Calibri"/>
          </rPr>
          <t>The NSX-T Tier-1 Gateway must be configured to enforce a Quality-of-Service (QoS) policy to limit the effects of packet flooding denial-of-service (DoS) attacks.</t>
        </r>
      </text>
    </comment>
    <comment ref="W88" authorId="0" shapeId="0" xr:uid="{00000000-0006-0000-0600-000036000000}">
      <text>
        <r>
          <rPr>
            <sz val="11"/>
            <rFont val="Calibri"/>
          </rPr>
          <t>The NSX-T Manager must be configured to protect against known types of denial-of-service (DoS) attacks by employing organization-defined security safeguards.</t>
        </r>
      </text>
    </comment>
    <comment ref="J90" authorId="0" shapeId="0" xr:uid="{00000000-0006-0000-0600-000042000000}">
      <text>
        <r>
          <rPr>
            <sz val="11"/>
            <rFont val="Calibri"/>
          </rPr>
          <t>The NSX-T Distributed Firewall must block outbound traffic containing denial-of-service (DoS) attacks to protect against the use of internal information systems to launch any DoS attacks against other networks or endpoints.</t>
        </r>
      </text>
    </comment>
    <comment ref="K90" authorId="0" shapeId="0" xr:uid="{00000000-0006-0000-0600-000043000000}">
      <text>
        <r>
          <rPr>
            <sz val="11"/>
            <rFont val="Calibri"/>
          </rPr>
          <t>The NSX-T Distributed Firewall must deny network communications traffic by default and allow network communications traffic by exception (i.e., deny all, permit by exception).</t>
        </r>
      </text>
    </comment>
    <comment ref="L90" authorId="0" shapeId="0" xr:uid="{00000000-0006-0000-0600-000044000000}">
      <text>
        <r>
          <rPr>
            <sz val="11"/>
            <rFont val="Calibri"/>
          </rPr>
          <t>The NSX-T Tier-0 Gateway Firewall must block outbound traffic containing denial-of-service (DoS) attacks to protect against the use of internal information systems to launch any DoS attacks against other networks or endpoints.</t>
        </r>
      </text>
    </comment>
    <comment ref="M90" authorId="0" shapeId="0" xr:uid="{00000000-0006-0000-0600-000045000000}">
      <text>
        <r>
          <rPr>
            <sz val="11"/>
            <rFont val="Calibri"/>
          </rPr>
          <t>The NSX-T Tier-1 Gateway Firewall must deny network communications traffic by default and allow network communications traffic by exception (i.e., deny all, permit by exception).</t>
        </r>
      </text>
    </comment>
    <comment ref="N90" authorId="0" shapeId="0" xr:uid="{00000000-0006-0000-0600-000046000000}">
      <text>
        <r>
          <rPr>
            <sz val="11"/>
            <rFont val="Calibri"/>
          </rPr>
          <t>The NSX-T Tier-0 Gateway Firewall must apply ingress filters to traffic that is inbound to the network through any active external interface.</t>
        </r>
      </text>
    </comment>
    <comment ref="O90" authorId="0" shapeId="0" xr:uid="{00000000-0006-0000-0600-000047000000}">
      <text>
        <r>
          <rPr>
            <sz val="11"/>
            <rFont val="Calibri"/>
          </rPr>
          <t>The NSX-T Tier-0 Gateway must be configured to restrict traffic destined to itself.</t>
        </r>
      </text>
    </comment>
    <comment ref="P90" authorId="0" shapeId="0" xr:uid="{00000000-0006-0000-0600-000048000000}">
      <text>
        <r>
          <rPr>
            <sz val="11"/>
            <rFont val="Calibri"/>
          </rPr>
          <t>The NSX-T Tier-1 Gateway Firewall must block outbound traffic containing denial-of-service (DoS) attacks to protect against the use of internal information systems to launch any DoS attacks against other networks or endpoints.</t>
        </r>
      </text>
    </comment>
    <comment ref="Q90" authorId="0" shapeId="0" xr:uid="{00000000-0006-0000-0600-000049000000}">
      <text>
        <r>
          <rPr>
            <sz val="11"/>
            <rFont val="Calibri"/>
          </rPr>
          <t>The NSX-T Tier-1 Gateway Firewall must deny network communications traffic by default and allow network communications traffic by exception (i.e., deny all, permit by exception).</t>
        </r>
      </text>
    </comment>
    <comment ref="R90" authorId="0" shapeId="0" xr:uid="{00000000-0006-0000-0600-00004A000000}">
      <text>
        <r>
          <rPr>
            <sz val="11"/>
            <rFont val="Calibri"/>
          </rPr>
          <t>The NSX-T Tier-1 Gateway Firewall must apply ingress filters to traffic that is inbound to the network through any active external interface.</t>
        </r>
      </text>
    </comment>
    <comment ref="J91" authorId="0" shapeId="0" xr:uid="{00000000-0006-0000-0600-00004B000000}">
      <text>
        <r>
          <rPr>
            <sz val="11"/>
            <rFont val="Calibri"/>
          </rPr>
          <t>The NSX-T Tier-0 Gateway Firewall must be configured to use the TLS or LI-TLS protocols to configure and secure communications with the central audit server.</t>
        </r>
      </text>
    </comment>
    <comment ref="K91" authorId="0" shapeId="0" xr:uid="{00000000-0006-0000-0600-00004C000000}">
      <text>
        <r>
          <rPr>
            <sz val="11"/>
            <rFont val="Calibri"/>
          </rPr>
          <t>The NSX-T Tier-0 Gateway must be configured to implement message authentication for all control plane protocols.</t>
        </r>
      </text>
    </comment>
    <comment ref="L91" authorId="0" shapeId="0" xr:uid="{00000000-0006-0000-0600-00004D000000}">
      <text>
        <r>
          <rPr>
            <sz val="11"/>
            <rFont val="Calibri"/>
          </rPr>
          <t>Each NSX-T Edge Node configured to host a Tier-1 Gateway Firewall must be configured to use the TLS or LI-TLS protocols to configure and secure traffic log records.</t>
        </r>
      </text>
    </comment>
    <comment ref="M91" authorId="0" shapeId="0" xr:uid="{00000000-0006-0000-0600-00004E000000}">
      <text>
        <r>
          <rPr>
            <sz val="11"/>
            <rFont val="Calibri"/>
          </rPr>
          <t>The NSX-T Manager must obtain its public key certificates from an approved DoD certificate authority.</t>
        </r>
      </text>
    </comment>
    <comment ref="N91" authorId="0" shapeId="0" xr:uid="{00000000-0006-0000-0600-00004F000000}">
      <text>
        <r>
          <rPr>
            <sz val="11"/>
            <rFont val="Calibri"/>
          </rPr>
          <t>The NSX-T Manager must disable TLS 1.1 and enable TLS 1.2.</t>
        </r>
      </text>
    </comment>
    <comment ref="O91" authorId="0" shapeId="0" xr:uid="{00000000-0006-0000-0600-000050000000}">
      <text>
        <r>
          <rPr>
            <sz val="11"/>
            <rFont val="Calibri"/>
          </rPr>
          <t>The NSX-T Manager must enable the global FIPS compliance mode for load balancers.</t>
        </r>
      </text>
    </comment>
    <comment ref="J94" authorId="0" shapeId="0" xr:uid="{00000000-0006-0000-0600-000051000000}">
      <text>
        <r>
          <rPr>
            <sz val="11"/>
            <rFont val="Calibri"/>
          </rPr>
          <t>The NSX-T Tier-0 Gateway Firewall must be configured to use the TLS or LI-TLS protocols to configure and secure communications with the central audit server.</t>
        </r>
      </text>
    </comment>
    <comment ref="K94" authorId="0" shapeId="0" xr:uid="{00000000-0006-0000-0600-000052000000}">
      <text>
        <r>
          <rPr>
            <sz val="11"/>
            <rFont val="Calibri"/>
          </rPr>
          <t>The NSX-T Manager must disable TLS 1.1 and enable TLS 1.2.</t>
        </r>
      </text>
    </comment>
    <comment ref="L94" authorId="0" shapeId="0" xr:uid="{00000000-0006-0000-0600-000053000000}">
      <text>
        <r>
          <rPr>
            <sz val="11"/>
            <rFont val="Calibri"/>
          </rPr>
          <t>The NSX-T Manager must enable the global FIPS compliance mode for load balancers.</t>
        </r>
      </text>
    </comment>
    <comment ref="J97" authorId="0" shapeId="0" xr:uid="{00000000-0006-0000-0600-000054000000}">
      <text>
        <r>
          <rPr>
            <sz val="11"/>
            <rFont val="Calibri"/>
          </rPr>
          <t>The NSX-T Manager must obtain its public key certificates from an approved DoD certificate authority.</t>
        </r>
      </text>
    </comment>
    <comment ref="J99" authorId="0" shapeId="0" xr:uid="{00000000-0006-0000-0600-000055000000}">
      <text>
        <r>
          <rPr>
            <sz val="11"/>
            <rFont val="Calibri"/>
          </rPr>
          <t>The NSX-T Manager must be running a release that is currently supported by the vendor.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NSX-T Tier-0 Gateway must be configured to use a unique key for each autonomous system (AS) with which it peers.</t>
        </r>
      </text>
    </comment>
    <comment ref="I89" authorId="0" shapeId="0" xr:uid="{00000000-0006-0000-0700-000005000000}">
      <text>
        <r>
          <rPr>
            <sz val="11"/>
            <rFont val="Calibri"/>
          </rPr>
          <t>The NSX-T Manager must be configured to enforce the limit of three consecutive invalid logon attempts, after which time it must block any login attempt for 15 minutes.</t>
        </r>
      </text>
    </comment>
    <comment ref="J89" authorId="0" shapeId="0" xr:uid="{00000000-0006-0000-0700-000002000000}">
      <text>
        <r>
          <rPr>
            <sz val="11"/>
            <rFont val="Calibri"/>
          </rPr>
          <t>The NSX-T Manager must enforce a minimum 15-character password length.</t>
        </r>
      </text>
    </comment>
    <comment ref="K89" authorId="0" shapeId="0" xr:uid="{00000000-0006-0000-0700-000003000000}">
      <text>
        <r>
          <rPr>
            <sz val="11"/>
            <rFont val="Calibri"/>
          </rPr>
          <t>The NSX-T Manager must integrate with either VMware Identity Manager (vIDM) or VMware Workspace ONE Access.</t>
        </r>
      </text>
    </comment>
    <comment ref="L89" authorId="0" shapeId="0" xr:uid="{00000000-0006-0000-0700-000004000000}">
      <text>
        <r>
          <rPr>
            <sz val="11"/>
            <rFont val="Calibri"/>
          </rPr>
          <t>The NSX-T Manager must disable unused local accounts.</t>
        </r>
      </text>
    </comment>
    <comment ref="H91" authorId="0" shapeId="0" xr:uid="{00000000-0006-0000-0700-000006000000}">
      <text>
        <r>
          <rPr>
            <sz val="11"/>
            <rFont val="Calibri"/>
          </rPr>
          <t>The NSX-T Manager must integrate with either VMware Identity Manager (vIDM) or VMware Workspace ONE Access.</t>
        </r>
      </text>
    </comment>
    <comment ref="H92" authorId="0" shapeId="0" xr:uid="{00000000-0006-0000-0700-000007000000}">
      <text>
        <r>
          <rPr>
            <sz val="11"/>
            <rFont val="Calibri"/>
          </rPr>
          <t>The NSX-T Manager must prohibit the use of cached authenticators after an organization-defined time period.</t>
        </r>
      </text>
    </comment>
    <comment ref="I92" authorId="0" shapeId="0" xr:uid="{00000000-0006-0000-0700-000008000000}">
      <text>
        <r>
          <rPr>
            <sz val="11"/>
            <rFont val="Calibri"/>
          </rPr>
          <t>The NSX-T Manager must obtain its public key certificates from an approved DoD certificate authority.</t>
        </r>
      </text>
    </comment>
    <comment ref="H93" authorId="0" shapeId="0" xr:uid="{00000000-0006-0000-0700-000009000000}">
      <text>
        <r>
          <rPr>
            <sz val="11"/>
            <rFont val="Calibri"/>
          </rPr>
          <t>NSX-T Manager must restrict the use of configuration, administration, and the execution of privileged commands to authorized personnel based on organization-defined roles.</t>
        </r>
      </text>
    </comment>
    <comment ref="I93" authorId="0" shapeId="0" xr:uid="{00000000-0006-0000-0700-00000A000000}">
      <text>
        <r>
          <rPr>
            <sz val="11"/>
            <rFont val="Calibri"/>
          </rPr>
          <t>The NSX-T Manager must terminate the device management session at the end of the session or after 10 minutes of inactivity.</t>
        </r>
      </text>
    </comment>
    <comment ref="H111" authorId="0" shapeId="0" xr:uid="{00000000-0006-0000-0700-00000B000000}">
      <text>
        <r>
          <rPr>
            <sz val="11"/>
            <rFont val="Calibri"/>
          </rPr>
          <t>The NSX-T Tier-0 Gateway Firewall must be configured to use the TLS or LI-TLS protocols to configure and secure communications with the central audit server.</t>
        </r>
      </text>
    </comment>
    <comment ref="I111" authorId="0" shapeId="0" xr:uid="{00000000-0006-0000-0700-00000C000000}">
      <text>
        <r>
          <rPr>
            <sz val="11"/>
            <rFont val="Calibri"/>
          </rPr>
          <t>The NSX-T Tier-0 Gateway must be configured to implement message authentication for all control plane protocols.</t>
        </r>
      </text>
    </comment>
    <comment ref="J111" authorId="0" shapeId="0" xr:uid="{00000000-0006-0000-0700-00000D000000}">
      <text>
        <r>
          <rPr>
            <sz val="11"/>
            <rFont val="Calibri"/>
          </rPr>
          <t>Each NSX-T Edge Node configured to host a Tier-1 Gateway Firewall must be configured to use the TLS or LI-TLS protocols to configure and secure traffic log records.</t>
        </r>
      </text>
    </comment>
    <comment ref="K111" authorId="0" shapeId="0" xr:uid="{00000000-0006-0000-0700-00000E000000}">
      <text>
        <r>
          <rPr>
            <sz val="11"/>
            <rFont val="Calibri"/>
          </rPr>
          <t>The NSX-T Manager must disable TLS 1.1 and enable TLS 1.2.</t>
        </r>
      </text>
    </comment>
    <comment ref="L111" authorId="0" shapeId="0" xr:uid="{00000000-0006-0000-0700-00000F000000}">
      <text>
        <r>
          <rPr>
            <sz val="11"/>
            <rFont val="Calibri"/>
          </rPr>
          <t>The NSX-T Manager must enable the global FIPS compliance mode for load balancers.</t>
        </r>
      </text>
    </comment>
    <comment ref="H113" authorId="0" shapeId="0" xr:uid="{00000000-0006-0000-0700-000010000000}">
      <text>
        <r>
          <rPr>
            <sz val="11"/>
            <rFont val="Calibri"/>
          </rPr>
          <t>The NSX-T Distributed Firewall must employ filters that prevent or limit the effects of all types of commonly known denial-of-service (DoS) attacks, including flooding, packet sweeps, and unauthorized port scanning.</t>
        </r>
      </text>
    </comment>
    <comment ref="I113" authorId="0" shapeId="0" xr:uid="{00000000-0006-0000-0700-000013000000}">
      <text>
        <r>
          <rPr>
            <sz val="11"/>
            <rFont val="Calibri"/>
          </rPr>
          <t>The NSX-T Tier-0 Gateway Firewall must employ filters that prevent or limit the effects of all types of commonly known denial-of-service (DoS) attacks, including flooding, packet sweeps, and unauthorized port scanning.</t>
        </r>
      </text>
    </comment>
    <comment ref="J113" authorId="0" shapeId="0" xr:uid="{00000000-0006-0000-0700-000014000000}">
      <text>
        <r>
          <rPr>
            <sz val="11"/>
            <rFont val="Calibri"/>
          </rPr>
          <t>The NSX-T Tier-0 Gateway must be configured to enforce a Quality-of-Service (QoS) policy to limit the effects of packet flooding denial-of-service (DoS) attacks.</t>
        </r>
      </text>
    </comment>
    <comment ref="K113" authorId="0" shapeId="0" xr:uid="{00000000-0006-0000-0700-000015000000}">
      <text>
        <r>
          <rPr>
            <sz val="11"/>
            <rFont val="Calibri"/>
          </rPr>
          <t>The NSX-T Tier-0 Gateway must be configured to use the BGP maximum prefixes feature to protect against route table flooding and prefix de-aggregation attacks.</t>
        </r>
      </text>
    </comment>
    <comment ref="L113" authorId="0" shapeId="0" xr:uid="{00000000-0006-0000-0700-000016000000}">
      <text>
        <r>
          <rPr>
            <sz val="11"/>
            <rFont val="Calibri"/>
          </rPr>
          <t>The NSX-T Tier-1 Gateway Firewall must employ filters that prevent or limit the effects of all types of commonly known denial-of-service (DoS) attacks, including flooding, packet sweeps, and unauthorized port scanning.</t>
        </r>
      </text>
    </comment>
    <comment ref="M113" authorId="0" shapeId="0" xr:uid="{00000000-0006-0000-0700-000011000000}">
      <text>
        <r>
          <rPr>
            <sz val="11"/>
            <rFont val="Calibri"/>
          </rPr>
          <t>The NSX-T Tier-1 Gateway must be configured to enforce a Quality-of-Service (QoS) policy to limit the effects of packet flooding denial-of-service (DoS) attacks.</t>
        </r>
      </text>
    </comment>
    <comment ref="N113" authorId="0" shapeId="0" xr:uid="{00000000-0006-0000-0700-000012000000}">
      <text>
        <r>
          <rPr>
            <sz val="11"/>
            <rFont val="Calibri"/>
          </rPr>
          <t>The NSX-T Manager must be configured to protect against known types of denial-of-service (DoS) attacks by employing organization-defined security safeguards.</t>
        </r>
      </text>
    </comment>
    <comment ref="H114" authorId="0" shapeId="0" xr:uid="{00000000-0006-0000-0700-000017000000}">
      <text>
        <r>
          <rPr>
            <sz val="11"/>
            <rFont val="Calibri"/>
          </rPr>
          <t>The NSX-T Manager must not provide environment information to third parties.</t>
        </r>
      </text>
    </comment>
    <comment ref="H119" authorId="0" shapeId="0" xr:uid="{00000000-0006-0000-0700-000018000000}">
      <text>
        <r>
          <rPr>
            <sz val="11"/>
            <rFont val="Calibri"/>
          </rPr>
          <t>The NSX-T Controller must be configured as a cluster in active/active mode to preserve any information necessary to determine cause of a system failure and to maintain network operations with least disruption to workload processes and flows.</t>
        </r>
      </text>
    </comment>
    <comment ref="I119" authorId="0" shapeId="0" xr:uid="{00000000-0006-0000-0700-000019000000}">
      <text>
        <r>
          <rPr>
            <sz val="11"/>
            <rFont val="Calibri"/>
          </rPr>
          <t>The NSX-T Controller cluster must  be on separate physical hosts.</t>
        </r>
      </text>
    </comment>
    <comment ref="J119" authorId="0" shapeId="0" xr:uid="{00000000-0006-0000-0700-00001A000000}">
      <text>
        <r>
          <rPr>
            <sz val="11"/>
            <rFont val="Calibri"/>
          </rPr>
          <t>The NSX-T Manager must be configured to conduct backups on an organizationally defined schedule.</t>
        </r>
      </text>
    </comment>
    <comment ref="K119" authorId="0" shapeId="0" xr:uid="{00000000-0006-0000-0700-00001B000000}">
      <text>
        <r>
          <rPr>
            <sz val="11"/>
            <rFont val="Calibri"/>
          </rPr>
          <t>The NSX-T Manager must support organizational requirements to conduct backups of information system documentation, including security-related documentation, when changes occur or weekly, whichever is sooner.</t>
        </r>
      </text>
    </comment>
    <comment ref="H134" authorId="0" shapeId="0" xr:uid="{00000000-0006-0000-0700-00001C000000}">
      <text>
        <r>
          <rPr>
            <sz val="11"/>
            <rFont val="Calibri"/>
          </rPr>
          <t>The NSX-T Distributed Firewall must block outbound traffic containing denial-of-service (DoS) attacks to protect against the use of internal information systems to launch any DoS attacks against other networks or endpoints.</t>
        </r>
      </text>
    </comment>
    <comment ref="I134" authorId="0" shapeId="0" xr:uid="{00000000-0006-0000-0700-000024000000}">
      <text>
        <r>
          <rPr>
            <sz val="11"/>
            <rFont val="Calibri"/>
          </rPr>
          <t>The NSX-T Distributed Firewall must deny network communications traffic by default and allow network communications traffic by exception (i.e., deny all, permit by exception).</t>
        </r>
      </text>
    </comment>
    <comment ref="J134" authorId="0" shapeId="0" xr:uid="{00000000-0006-0000-0700-000025000000}">
      <text>
        <r>
          <rPr>
            <sz val="11"/>
            <rFont val="Calibri"/>
          </rPr>
          <t>The NSX-T Distributed Firewall must configure SpoofGuard to block outbound IP packets that contain illegitimate packet attributes.</t>
        </r>
      </text>
    </comment>
    <comment ref="K134" authorId="0" shapeId="0" xr:uid="{00000000-0006-0000-0700-000026000000}">
      <text>
        <r>
          <rPr>
            <sz val="11"/>
            <rFont val="Calibri"/>
          </rPr>
          <t>The NSX-T Tier-0 Gateway Firewall must block outbound traffic containing denial-of-service (DoS) attacks to protect against the use of internal information systems to launch any DoS attacks against other networks or endpoints.</t>
        </r>
      </text>
    </comment>
    <comment ref="L134" authorId="0" shapeId="0" xr:uid="{00000000-0006-0000-0700-000027000000}">
      <text>
        <r>
          <rPr>
            <sz val="11"/>
            <rFont val="Calibri"/>
          </rPr>
          <t>The NSX-T Tier-1 Gateway Firewall must deny network communications traffic by default and allow network communications traffic by exception (i.e., deny all, permit by exception).</t>
        </r>
      </text>
    </comment>
    <comment ref="M134" authorId="0" shapeId="0" xr:uid="{00000000-0006-0000-0700-000028000000}">
      <text>
        <r>
          <rPr>
            <sz val="11"/>
            <rFont val="Calibri"/>
          </rPr>
          <t>The NSX-T Tier-0 Gateway Firewall must apply ingress filters to traffic that is inbound to the network through any active external interface.</t>
        </r>
      </text>
    </comment>
    <comment ref="N134" authorId="0" shapeId="0" xr:uid="{00000000-0006-0000-0700-000029000000}">
      <text>
        <r>
          <rPr>
            <sz val="11"/>
            <rFont val="Calibri"/>
          </rPr>
          <t>The NSX-T Tier-0 Gateway Firewall must configure SpoofGuard to block outbound IP packets that contain illegitimate packet attributes.</t>
        </r>
      </text>
    </comment>
    <comment ref="O134" authorId="0" shapeId="0" xr:uid="{00000000-0006-0000-0700-00001D000000}">
      <text>
        <r>
          <rPr>
            <sz val="11"/>
            <rFont val="Calibri"/>
          </rPr>
          <t>The NSX-T Tier-0 Gateway must be configured to reject inbound route advertisements for any prefixes belonging to the local autonomous system (AS).</t>
        </r>
      </text>
    </comment>
    <comment ref="P134" authorId="0" shapeId="0" xr:uid="{00000000-0006-0000-0700-00001E000000}">
      <text>
        <r>
          <rPr>
            <sz val="11"/>
            <rFont val="Calibri"/>
          </rPr>
          <t>The NSX-T Tier-0 Gateway must be configured to restrict traffic destined to itself.</t>
        </r>
      </text>
    </comment>
    <comment ref="Q134" authorId="0" shapeId="0" xr:uid="{00000000-0006-0000-0700-00001F000000}">
      <text>
        <r>
          <rPr>
            <sz val="11"/>
            <rFont val="Calibri"/>
          </rPr>
          <t>Unicast Reverse Path Forwarding (uRPF) must be enabled on the NSX-T Tier-0 Gateway.</t>
        </r>
      </text>
    </comment>
    <comment ref="R134" authorId="0" shapeId="0" xr:uid="{00000000-0006-0000-0700-000020000000}">
      <text>
        <r>
          <rPr>
            <sz val="11"/>
            <rFont val="Calibri"/>
          </rPr>
          <t>The NSX-T Tier-1 Gateway Firewall must block outbound traffic containing denial-of-service (DoS) attacks to protect against the use of internal information systems to launch any DoS attacks against other networks or endpoints.</t>
        </r>
      </text>
    </comment>
    <comment ref="S134" authorId="0" shapeId="0" xr:uid="{00000000-0006-0000-0700-000021000000}">
      <text>
        <r>
          <rPr>
            <sz val="11"/>
            <rFont val="Calibri"/>
          </rPr>
          <t>The NSX-T Tier-1 Gateway Firewall must deny network communications traffic by default and allow network communications traffic by exception (i.e., deny all, permit by exception).</t>
        </r>
      </text>
    </comment>
    <comment ref="T134" authorId="0" shapeId="0" xr:uid="{00000000-0006-0000-0700-000022000000}">
      <text>
        <r>
          <rPr>
            <sz val="11"/>
            <rFont val="Calibri"/>
          </rPr>
          <t>The NSX-T Tier-1 Gateway Firewall must apply ingress filters to traffic that is inbound to the network through any active external interface.</t>
        </r>
      </text>
    </comment>
    <comment ref="U134" authorId="0" shapeId="0" xr:uid="{00000000-0006-0000-0700-000023000000}">
      <text>
        <r>
          <rPr>
            <sz val="11"/>
            <rFont val="Calibri"/>
          </rPr>
          <t>The NSX-T Tier-1 Gateway Firewall must configure SpoofGuard to block outbound IP packets that contain illegitimate packet attributes.</t>
        </r>
      </text>
    </comment>
    <comment ref="H142" authorId="0" shapeId="0" xr:uid="{00000000-0006-0000-0700-00002A000000}">
      <text>
        <r>
          <rPr>
            <sz val="11"/>
            <rFont val="Calibri"/>
          </rPr>
          <t>The NSX-T Distributed Firewall must verify time-based firewall rules.</t>
        </r>
      </text>
    </comment>
    <comment ref="I142" authorId="0" shapeId="0" xr:uid="{00000000-0006-0000-0700-00002C000000}">
      <text>
        <r>
          <rPr>
            <sz val="11"/>
            <rFont val="Calibri"/>
          </rPr>
          <t>The NSX-T Tier-0 Gateway must be configured to disable Protocol Independent Multicast (PIM) on all interfaces that are not required to support multicast routing.</t>
        </r>
      </text>
    </comment>
    <comment ref="J142" authorId="0" shapeId="0" xr:uid="{00000000-0006-0000-0700-00002D000000}">
      <text>
        <r>
          <rPr>
            <sz val="11"/>
            <rFont val="Calibri"/>
          </rPr>
          <t>The NSX-T Tier-0 Gateway must be configured to have all inactive interfaces removed.</t>
        </r>
      </text>
    </comment>
    <comment ref="K142" authorId="0" shapeId="0" xr:uid="{00000000-0006-0000-0700-00002E000000}">
      <text>
        <r>
          <rPr>
            <sz val="11"/>
            <rFont val="Calibri"/>
          </rPr>
          <t>The NSX-T Tier-0 Gateway must be configured to have the DHCP service disabled if not in use.</t>
        </r>
      </text>
    </comment>
    <comment ref="L142" authorId="0" shapeId="0" xr:uid="{00000000-0006-0000-0700-00002F000000}">
      <text>
        <r>
          <rPr>
            <sz val="11"/>
            <rFont val="Calibri"/>
          </rPr>
          <t>The NSX-T Tier-0 Gateway must be configured to have Internet Control Message Protocol (ICMP) unreachable notifications disabled on all external interfaces.</t>
        </r>
      </text>
    </comment>
    <comment ref="M142" authorId="0" shapeId="0" xr:uid="{00000000-0006-0000-0700-000030000000}">
      <text>
        <r>
          <rPr>
            <sz val="11"/>
            <rFont val="Calibri"/>
          </rPr>
          <t>The NSX-T Tier-0 Gateway must be configured to have Internet Control Message Protocol (ICMP) mask replies disabled on all external interfaces.</t>
        </r>
      </text>
    </comment>
    <comment ref="N142" authorId="0" shapeId="0" xr:uid="{00000000-0006-0000-0700-000031000000}">
      <text>
        <r>
          <rPr>
            <sz val="11"/>
            <rFont val="Calibri"/>
          </rPr>
          <t>The NSX-T Tier-0 Gateway must be configured to have Internet Control Message Protocol (ICMP) redirects disabled on all external interfaces.</t>
        </r>
      </text>
    </comment>
    <comment ref="O142" authorId="0" shapeId="0" xr:uid="{00000000-0006-0000-0700-000032000000}">
      <text>
        <r>
          <rPr>
            <sz val="11"/>
            <rFont val="Calibri"/>
          </rPr>
          <t>The NSX-T Tier-0 Gateway must be configured to use its loopback address as the source address for iBGP peering sessions.</t>
        </r>
      </text>
    </comment>
    <comment ref="P142" authorId="0" shapeId="0" xr:uid="{00000000-0006-0000-0700-000033000000}">
      <text>
        <r>
          <rPr>
            <sz val="11"/>
            <rFont val="Calibri"/>
          </rPr>
          <t>The NSX-T Tier-0 Gateway must be configured to have routing protocols disabled if not in use.</t>
        </r>
      </text>
    </comment>
    <comment ref="Q142" authorId="0" shapeId="0" xr:uid="{00000000-0006-0000-0700-000034000000}">
      <text>
        <r>
          <rPr>
            <sz val="11"/>
            <rFont val="Calibri"/>
          </rPr>
          <t>The NSX-T Tier-0 Gateway must be configured to have multicast disabled if not in use.</t>
        </r>
      </text>
    </comment>
    <comment ref="R142" authorId="0" shapeId="0" xr:uid="{00000000-0006-0000-0700-000035000000}">
      <text>
        <r>
          <rPr>
            <sz val="11"/>
            <rFont val="Calibri"/>
          </rPr>
          <t>The NSX-T Tier-1 Gateway must be configured to have all inactive interfaces removed.</t>
        </r>
      </text>
    </comment>
    <comment ref="S142" authorId="0" shapeId="0" xr:uid="{00000000-0006-0000-0700-000036000000}">
      <text>
        <r>
          <rPr>
            <sz val="11"/>
            <rFont val="Calibri"/>
          </rPr>
          <t>The NSX-T Tier-1 Gateway must be configured to have the DHCP service disabled if not in use.</t>
        </r>
      </text>
    </comment>
    <comment ref="T142" authorId="0" shapeId="0" xr:uid="{00000000-0006-0000-0700-000037000000}">
      <text>
        <r>
          <rPr>
            <sz val="11"/>
            <rFont val="Calibri"/>
          </rPr>
          <t>The NSX-T Tier-1 Gateway must be configured to have multicast disabled if not in use.</t>
        </r>
      </text>
    </comment>
    <comment ref="U142" authorId="0" shapeId="0" xr:uid="{00000000-0006-0000-0700-000038000000}">
      <text>
        <r>
          <rPr>
            <sz val="11"/>
            <rFont val="Calibri"/>
          </rPr>
          <t>The NSX-T Manager must disable SSH.</t>
        </r>
      </text>
    </comment>
    <comment ref="V142" authorId="0" shapeId="0" xr:uid="{00000000-0006-0000-0700-00002B000000}">
      <text>
        <r>
          <rPr>
            <sz val="11"/>
            <rFont val="Calibri"/>
          </rPr>
          <t>The NSX-T Manager must disable SNMP v2.</t>
        </r>
      </text>
    </comment>
    <comment ref="H143" authorId="0" shapeId="0" xr:uid="{00000000-0006-0000-0700-000039000000}">
      <text>
        <r>
          <rPr>
            <sz val="11"/>
            <rFont val="Calibri"/>
          </rPr>
          <t>The NSX-T Manager must be running a release that is currently supported by the vendor.</t>
        </r>
      </text>
    </comment>
    <comment ref="H145" authorId="0" shapeId="0" xr:uid="{00000000-0006-0000-0700-00003A000000}">
      <text>
        <r>
          <rPr>
            <sz val="11"/>
            <rFont val="Calibri"/>
          </rPr>
          <t>The NSX-T Distributed Firewall must generate traffic log entries containing information to establish the details of the event.</t>
        </r>
      </text>
    </comment>
    <comment ref="I145" authorId="0" shapeId="0" xr:uid="{00000000-0006-0000-0700-00003B000000}">
      <text>
        <r>
          <rPr>
            <sz val="11"/>
            <rFont val="Calibri"/>
          </rPr>
          <t>The NSX-T Distributed Firewall must be configured to send traffic log entries to a central audit server for management and configuration of the traffic log entries.</t>
        </r>
      </text>
    </comment>
    <comment ref="J145" authorId="0" shapeId="0" xr:uid="{00000000-0006-0000-0700-00003C000000}">
      <text>
        <r>
          <rPr>
            <sz val="11"/>
            <rFont val="Calibri"/>
          </rPr>
          <t>The NSX-T Tier-0 Gateway Firewall must generate traffic log entries containing information to establish the details of the event.</t>
        </r>
      </text>
    </comment>
    <comment ref="K145" authorId="0" shapeId="0" xr:uid="{00000000-0006-0000-0700-00003D000000}">
      <text>
        <r>
          <rPr>
            <sz val="11"/>
            <rFont val="Calibri"/>
          </rPr>
          <t>The NSX-T Tier-1 Gateway Firewall must generate traffic log entries containing information to establish what type of events occurred.</t>
        </r>
      </text>
    </comment>
    <comment ref="L145" authorId="0" shapeId="0" xr:uid="{00000000-0006-0000-0700-00003E000000}">
      <text>
        <r>
          <rPr>
            <sz val="11"/>
            <rFont val="Calibri"/>
          </rPr>
          <t>The NSX-T Tier-1 Gateway Firewall must generate traffic log entries containing information to establish the details of the event.</t>
        </r>
      </text>
    </comment>
    <comment ref="M145" authorId="0" shapeId="0" xr:uid="{00000000-0006-0000-0700-00003F000000}">
      <text>
        <r>
          <rPr>
            <sz val="11"/>
            <rFont val="Calibri"/>
          </rPr>
          <t>The NSX-T Tier-1 Gateway Firewall must be configured to send traffic log entries to a central audit server for management and configuration of the traffic log entries.</t>
        </r>
      </text>
    </comment>
    <comment ref="N145" authorId="0" shapeId="0" xr:uid="{00000000-0006-0000-0700-000040000000}">
      <text>
        <r>
          <rPr>
            <sz val="11"/>
            <rFont val="Calibri"/>
          </rPr>
          <t>The NSX-T Manager must be configured to synchronize internal information system clocks using redundant authoritative time sources.</t>
        </r>
      </text>
    </comment>
    <comment ref="O145" authorId="0" shapeId="0" xr:uid="{00000000-0006-0000-0700-000041000000}">
      <text>
        <r>
          <rPr>
            <sz val="11"/>
            <rFont val="Calibri"/>
          </rPr>
          <t>The NSX-T Manager must record time stamps for audit records that can be mapped to Coordinated Universal Time (UTC).</t>
        </r>
      </text>
    </comment>
    <comment ref="P145" authorId="0" shapeId="0" xr:uid="{00000000-0006-0000-0700-000042000000}">
      <text>
        <r>
          <rPr>
            <sz val="11"/>
            <rFont val="Calibri"/>
          </rPr>
          <t>The NSX-T Manager must generate audit records when successful/unsuccessful attempts to delete administrator privileges occur.</t>
        </r>
      </text>
    </comment>
    <comment ref="Q145" authorId="0" shapeId="0" xr:uid="{00000000-0006-0000-0700-000043000000}">
      <text>
        <r>
          <rPr>
            <sz val="11"/>
            <rFont val="Calibri"/>
          </rPr>
          <t>The NSX-T Manager must be configured to send logs to a central log server.</t>
        </r>
      </text>
    </comment>
    <comment ref="R145" authorId="0" shapeId="0" xr:uid="{00000000-0006-0000-0700-000044000000}">
      <text>
        <r>
          <rPr>
            <sz val="11"/>
            <rFont val="Calibri"/>
          </rPr>
          <t>The NSX-T Manager must generate log records for the info level to capture the DoD-required auditable events.</t>
        </r>
      </text>
    </comment>
    <comment ref="S145" authorId="0" shapeId="0" xr:uid="{00000000-0006-0000-0700-000045000000}">
      <text>
        <r>
          <rPr>
            <sz val="11"/>
            <rFont val="Calibri"/>
          </rPr>
          <t>The NSX-T Manager must be configured to send log data to a central log server for the purpose of forwarding alerts to the administrators and the Information System Security Officer (ISSO).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NSX-T Tier-0 Gateway Firewall must apply ingress filters to traffic that is inbound to the network through any active external interface.</t>
        </r>
      </text>
    </comment>
    <comment ref="H37" authorId="0" shapeId="0" xr:uid="{00000000-0006-0000-0800-000002000000}">
      <text>
        <r>
          <rPr>
            <sz val="11"/>
            <rFont val="Calibri"/>
          </rPr>
          <t>The NSX-T Tier-1 Gateway Firewall must apply ingress filters to traffic that is inbound to the network through any active external interface.</t>
        </r>
      </text>
    </comment>
    <comment ref="G46" authorId="0" shapeId="0" xr:uid="{00000000-0006-0000-0800-000003000000}">
      <text>
        <r>
          <rPr>
            <sz val="11"/>
            <rFont val="Calibri"/>
          </rPr>
          <t>The NSX-T Distributed Firewall must deny network communications traffic by default and allow network communications traffic by exception (i.e., deny all, permit by exception).</t>
        </r>
      </text>
    </comment>
    <comment ref="H46" authorId="0" shapeId="0" xr:uid="{00000000-0006-0000-0800-000005000000}">
      <text>
        <r>
          <rPr>
            <sz val="11"/>
            <rFont val="Calibri"/>
          </rPr>
          <t>The NSX-T Tier-1 Gateway Firewall must deny network communications traffic by default and allow network communications traffic by exception (i.e., deny all, permit by exception).</t>
        </r>
      </text>
    </comment>
    <comment ref="I46" authorId="0" shapeId="0" xr:uid="{00000000-0006-0000-0800-000004000000}">
      <text>
        <r>
          <rPr>
            <sz val="11"/>
            <rFont val="Calibri"/>
          </rPr>
          <t>The NSX-T Tier-1 Gateway Firewall must deny network communications traffic by default and allow network communications traffic by exception (i.e., deny all, permit by exception).</t>
        </r>
      </text>
    </comment>
    <comment ref="G52" authorId="0" shapeId="0" xr:uid="{00000000-0006-0000-0800-000006000000}">
      <text>
        <r>
          <rPr>
            <sz val="11"/>
            <rFont val="Calibri"/>
          </rPr>
          <t>The NSX-T Manager must disable SSH.</t>
        </r>
      </text>
    </comment>
    <comment ref="G74" authorId="0" shapeId="0" xr:uid="{00000000-0006-0000-0800-000007000000}">
      <text>
        <r>
          <rPr>
            <sz val="11"/>
            <rFont val="Calibri"/>
          </rPr>
          <t>The NSX-T Manager must be running a release that is currently supported by the vendor.</t>
        </r>
      </text>
    </comment>
    <comment ref="G81" authorId="0" shapeId="0" xr:uid="{00000000-0006-0000-0800-000008000000}">
      <text>
        <r>
          <rPr>
            <sz val="11"/>
            <rFont val="Calibri"/>
          </rPr>
          <t>The NSX-T Manager must integrate with either VMware Identity Manager (vIDM) or VMware Workspace ONE Access.</t>
        </r>
      </text>
    </comment>
    <comment ref="G83" authorId="0" shapeId="0" xr:uid="{00000000-0006-0000-0800-000009000000}">
      <text>
        <r>
          <rPr>
            <sz val="11"/>
            <rFont val="Calibri"/>
          </rPr>
          <t>NSX-T Manager must restrict the use of configuration, administration, and the execution of privileged commands to authorized personnel based on organization-defined roles.</t>
        </r>
      </text>
    </comment>
    <comment ref="G92" authorId="0" shapeId="0" xr:uid="{00000000-0006-0000-0800-00000A000000}">
      <text>
        <r>
          <rPr>
            <sz val="11"/>
            <rFont val="Calibri"/>
          </rPr>
          <t>The NSX-T Manager must enforce a minimum 15-character password length.</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The NSX-T Tier-0 Gateway Firewall must apply ingress filters to traffic that is inbound to the network through any active external interface.</t>
        </r>
      </text>
    </comment>
    <comment ref="M11" authorId="0" shapeId="0" xr:uid="{00000000-0006-0000-0A00-000002000000}">
      <text>
        <r>
          <rPr>
            <sz val="11"/>
            <rFont val="Calibri"/>
          </rPr>
          <t>The NSX-T Tier-1 Gateway Firewall must apply ingress filters to traffic that is inbound to the network through any active external interface.</t>
        </r>
      </text>
    </comment>
    <comment ref="L16" authorId="0" shapeId="0" xr:uid="{00000000-0006-0000-0A00-000003000000}">
      <text>
        <r>
          <rPr>
            <sz val="11"/>
            <rFont val="Calibri"/>
          </rPr>
          <t>The NSX-T Distributed Firewall must block outbound traffic containing denial-of-service (DoS) attacks to protect against the use of internal information systems to launch any DoS attacks against other networks or endpoints.</t>
        </r>
      </text>
    </comment>
    <comment ref="M16" authorId="0" shapeId="0" xr:uid="{00000000-0006-0000-0A00-00000B000000}">
      <text>
        <r>
          <rPr>
            <sz val="11"/>
            <rFont val="Calibri"/>
          </rPr>
          <t>The NSX-T Distributed Firewall must deny network communications traffic by default and allow network communications traffic by exception (i.e., deny all, permit by exception).</t>
        </r>
      </text>
    </comment>
    <comment ref="N16" authorId="0" shapeId="0" xr:uid="{00000000-0006-0000-0A00-000004000000}">
      <text>
        <r>
          <rPr>
            <sz val="11"/>
            <rFont val="Calibri"/>
          </rPr>
          <t>The NSX-T Tier-0 Gateway Firewall must block outbound traffic containing denial-of-service (DoS) attacks to protect against the use of internal information systems to launch any DoS attacks against other networks or endpoints.</t>
        </r>
      </text>
    </comment>
    <comment ref="O16" authorId="0" shapeId="0" xr:uid="{00000000-0006-0000-0A00-000005000000}">
      <text>
        <r>
          <rPr>
            <sz val="11"/>
            <rFont val="Calibri"/>
          </rPr>
          <t>The NSX-T Tier-1 Gateway Firewall must deny network communications traffic by default and allow network communications traffic by exception (i.e., deny all, permit by exception).</t>
        </r>
      </text>
    </comment>
    <comment ref="P16" authorId="0" shapeId="0" xr:uid="{00000000-0006-0000-0A00-000006000000}">
      <text>
        <r>
          <rPr>
            <sz val="11"/>
            <rFont val="Calibri"/>
          </rPr>
          <t>The NSX-T Tier-0 Gateway Firewall must apply ingress filters to traffic that is inbound to the network through any active external interface.</t>
        </r>
      </text>
    </comment>
    <comment ref="Q16" authorId="0" shapeId="0" xr:uid="{00000000-0006-0000-0A00-000007000000}">
      <text>
        <r>
          <rPr>
            <sz val="11"/>
            <rFont val="Calibri"/>
          </rPr>
          <t>The NSX-T Tier-0 Gateway must be configured to restrict traffic destined to itself.</t>
        </r>
      </text>
    </comment>
    <comment ref="R16" authorId="0" shapeId="0" xr:uid="{00000000-0006-0000-0A00-000008000000}">
      <text>
        <r>
          <rPr>
            <sz val="11"/>
            <rFont val="Calibri"/>
          </rPr>
          <t>The NSX-T Tier-1 Gateway Firewall must block outbound traffic containing denial-of-service (DoS) attacks to protect against the use of internal information systems to launch any DoS attacks against other networks or endpoints.</t>
        </r>
      </text>
    </comment>
    <comment ref="S16" authorId="0" shapeId="0" xr:uid="{00000000-0006-0000-0A00-000009000000}">
      <text>
        <r>
          <rPr>
            <sz val="11"/>
            <rFont val="Calibri"/>
          </rPr>
          <t>The NSX-T Tier-1 Gateway Firewall must deny network communications traffic by default and allow network communications traffic by exception (i.e., deny all, permit by exception).</t>
        </r>
      </text>
    </comment>
    <comment ref="T16" authorId="0" shapeId="0" xr:uid="{00000000-0006-0000-0A00-00000A000000}">
      <text>
        <r>
          <rPr>
            <sz val="11"/>
            <rFont val="Calibri"/>
          </rPr>
          <t>The NSX-T Tier-1 Gateway Firewall must apply ingress filters to traffic that is inbound to the network through any active external interface.</t>
        </r>
      </text>
    </comment>
    <comment ref="L17" authorId="0" shapeId="0" xr:uid="{00000000-0006-0000-0A00-00000C000000}">
      <text>
        <r>
          <rPr>
            <sz val="11"/>
            <rFont val="Calibri"/>
          </rPr>
          <t>The NSX-T Distributed Firewall must deny network communications traffic by default and allow network communications traffic by exception (i.e., deny all, permit by exception).</t>
        </r>
      </text>
    </comment>
    <comment ref="M17" authorId="0" shapeId="0" xr:uid="{00000000-0006-0000-0A00-00000D000000}">
      <text>
        <r>
          <rPr>
            <sz val="11"/>
            <rFont val="Calibri"/>
          </rPr>
          <t>The NSX-T Tier-1 Gateway Firewall must deny network communications traffic by default and allow network communications traffic by exception (i.e., deny all, permit by exception).</t>
        </r>
      </text>
    </comment>
    <comment ref="N17" authorId="0" shapeId="0" xr:uid="{00000000-0006-0000-0A00-00000E000000}">
      <text>
        <r>
          <rPr>
            <sz val="11"/>
            <rFont val="Calibri"/>
          </rPr>
          <t>The NSX-T Tier-1 Gateway Firewall must deny network communications traffic by default and allow network communications traffic by exception (i.e., deny all, permit by exception).</t>
        </r>
      </text>
    </comment>
    <comment ref="L35" authorId="0" shapeId="0" xr:uid="{00000000-0006-0000-0A00-00000F000000}">
      <text>
        <r>
          <rPr>
            <sz val="11"/>
            <rFont val="Calibri"/>
          </rPr>
          <t>The NSX-T Manager must disable SSH.</t>
        </r>
      </text>
    </comment>
    <comment ref="L36" authorId="0" shapeId="0" xr:uid="{00000000-0006-0000-0A00-000010000000}">
      <text>
        <r>
          <rPr>
            <sz val="11"/>
            <rFont val="Calibri"/>
          </rPr>
          <t>The NSX-T Manager must disable SNMP v2.</t>
        </r>
      </text>
    </comment>
    <comment ref="L84" authorId="0" shapeId="0" xr:uid="{00000000-0006-0000-0A00-000011000000}">
      <text>
        <r>
          <rPr>
            <sz val="11"/>
            <rFont val="Calibri"/>
          </rPr>
          <t>The NSX-T Tier-0 Gateway Firewall must be configured to use the TLS or LI-TLS protocols to configure and secure communications with the central audit server.</t>
        </r>
      </text>
    </comment>
    <comment ref="M84" authorId="0" shapeId="0" xr:uid="{00000000-0006-0000-0A00-000012000000}">
      <text>
        <r>
          <rPr>
            <sz val="11"/>
            <rFont val="Calibri"/>
          </rPr>
          <t>The NSX-T Manager must disable TLS 1.1 and enable TLS 1.2.</t>
        </r>
      </text>
    </comment>
    <comment ref="N84" authorId="0" shapeId="0" xr:uid="{00000000-0006-0000-0A00-000013000000}">
      <text>
        <r>
          <rPr>
            <sz val="11"/>
            <rFont val="Calibri"/>
          </rPr>
          <t>The NSX-T Manager must enable the global FIPS compliance mode for load balancers.</t>
        </r>
      </text>
    </comment>
    <comment ref="L119" authorId="0" shapeId="0" xr:uid="{00000000-0006-0000-0A00-000014000000}">
      <text>
        <r>
          <rPr>
            <sz val="11"/>
            <rFont val="Calibri"/>
          </rPr>
          <t>The NSX-T Manager must be running a release that is currently supported by the vendor.</t>
        </r>
      </text>
    </comment>
    <comment ref="L137" authorId="0" shapeId="0" xr:uid="{00000000-0006-0000-0A00-000015000000}">
      <text>
        <r>
          <rPr>
            <sz val="11"/>
            <rFont val="Calibri"/>
          </rPr>
          <t>NSX-T Manager must restrict the use of configuration, administration, and the execution of privileged commands to authorized personnel based on organization-defined roles.</t>
        </r>
      </text>
    </comment>
    <comment ref="L145" authorId="0" shapeId="0" xr:uid="{00000000-0006-0000-0A00-000016000000}">
      <text>
        <r>
          <rPr>
            <sz val="11"/>
            <rFont val="Calibri"/>
          </rPr>
          <t>NSX-T Manager must restrict the use of configuration, administration, and the execution of privileged commands to authorized personnel based on organization-defined roles.</t>
        </r>
      </text>
    </comment>
    <comment ref="L152" authorId="0" shapeId="0" xr:uid="{00000000-0006-0000-0A00-000017000000}">
      <text>
        <r>
          <rPr>
            <sz val="11"/>
            <rFont val="Calibri"/>
          </rPr>
          <t>The NSX-T Manager must integrate with either VMware Identity Manager (vIDM) or VMware Workspace ONE Access.</t>
        </r>
      </text>
    </comment>
    <comment ref="L159" authorId="0" shapeId="0" xr:uid="{00000000-0006-0000-0A00-000018000000}">
      <text>
        <r>
          <rPr>
            <sz val="11"/>
            <rFont val="Calibri"/>
          </rPr>
          <t>The NSX-T Manager must terminate the device management session at the end of the session or after 10 minutes of inactivity.</t>
        </r>
      </text>
    </comment>
    <comment ref="L164" authorId="0" shapeId="0" xr:uid="{00000000-0006-0000-0A00-000019000000}">
      <text>
        <r>
          <rPr>
            <sz val="11"/>
            <rFont val="Calibri"/>
          </rPr>
          <t>The NSX-T Manager must be configured to enforce the limit of three consecutive invalid logon attempts, after which time it must block any login attempt for 15 minutes.</t>
        </r>
      </text>
    </comment>
    <comment ref="L166" authorId="0" shapeId="0" xr:uid="{00000000-0006-0000-0A00-00001A000000}">
      <text>
        <r>
          <rPr>
            <sz val="11"/>
            <rFont val="Calibri"/>
          </rPr>
          <t>The NSX-T Manager must enforce a minimum 15-character password length.</t>
        </r>
      </text>
    </comment>
    <comment ref="L221" authorId="0" shapeId="0" xr:uid="{00000000-0006-0000-0A00-00001B000000}">
      <text>
        <r>
          <rPr>
            <sz val="11"/>
            <rFont val="Calibri"/>
          </rPr>
          <t>The NSX-T Distributed Firewall must generate traffic log entries containing information to establish the details of the event.</t>
        </r>
      </text>
    </comment>
    <comment ref="M221" authorId="0" shapeId="0" xr:uid="{00000000-0006-0000-0A00-00001C000000}">
      <text>
        <r>
          <rPr>
            <sz val="11"/>
            <rFont val="Calibri"/>
          </rPr>
          <t>The NSX-T Tier-0 Gateway Firewall must generate traffic log entries containing information to establish the details of the event.</t>
        </r>
      </text>
    </comment>
    <comment ref="N221" authorId="0" shapeId="0" xr:uid="{00000000-0006-0000-0A00-00001D000000}">
      <text>
        <r>
          <rPr>
            <sz val="11"/>
            <rFont val="Calibri"/>
          </rPr>
          <t>The NSX-T Tier-1 Gateway Firewall must generate traffic log entries containing information to establish what type of events occurred.</t>
        </r>
      </text>
    </comment>
    <comment ref="O221" authorId="0" shapeId="0" xr:uid="{00000000-0006-0000-0A00-00001E000000}">
      <text>
        <r>
          <rPr>
            <sz val="11"/>
            <rFont val="Calibri"/>
          </rPr>
          <t>The NSX-T Tier-1 Gateway Firewall must generate traffic log entries containing information to establish the details of the event.</t>
        </r>
      </text>
    </comment>
    <comment ref="P221" authorId="0" shapeId="0" xr:uid="{00000000-0006-0000-0A00-00001F000000}">
      <text>
        <r>
          <rPr>
            <sz val="11"/>
            <rFont val="Calibri"/>
          </rPr>
          <t>The NSX-T Manager must generate audit records when successful/unsuccessful attempts to delete administrator privileges occur.</t>
        </r>
      </text>
    </comment>
    <comment ref="Q221" authorId="0" shapeId="0" xr:uid="{00000000-0006-0000-0A00-000020000000}">
      <text>
        <r>
          <rPr>
            <sz val="11"/>
            <rFont val="Calibri"/>
          </rPr>
          <t>The NSX-T Manager must be configured to send logs to a central log server.</t>
        </r>
      </text>
    </comment>
    <comment ref="R221" authorId="0" shapeId="0" xr:uid="{00000000-0006-0000-0A00-000021000000}">
      <text>
        <r>
          <rPr>
            <sz val="11"/>
            <rFont val="Calibri"/>
          </rPr>
          <t>The NSX-T Manager must generate log records for the info level to capture the DoD-required auditable events.</t>
        </r>
      </text>
    </comment>
    <comment ref="S221" authorId="0" shapeId="0" xr:uid="{00000000-0006-0000-0A00-000022000000}">
      <text>
        <r>
          <rPr>
            <sz val="11"/>
            <rFont val="Calibri"/>
          </rPr>
          <t>The NSX-T Manager must be configured to send log data to a central log server for the purpose of forwarding alerts to the administrators and the Information System Security Officer (ISSO).</t>
        </r>
      </text>
    </comment>
    <comment ref="L229" authorId="0" shapeId="0" xr:uid="{00000000-0006-0000-0A00-000023000000}">
      <text>
        <r>
          <rPr>
            <sz val="11"/>
            <rFont val="Calibri"/>
          </rPr>
          <t>The NSX-T Distributed Firewall must generate traffic log entries containing information to establish the details of the event.</t>
        </r>
      </text>
    </comment>
    <comment ref="M229" authorId="0" shapeId="0" xr:uid="{00000000-0006-0000-0A00-000024000000}">
      <text>
        <r>
          <rPr>
            <sz val="11"/>
            <rFont val="Calibri"/>
          </rPr>
          <t>The NSX-T Tier-0 Gateway Firewall must generate traffic log entries containing information to establish the details of the event.</t>
        </r>
      </text>
    </comment>
    <comment ref="N229" authorId="0" shapeId="0" xr:uid="{00000000-0006-0000-0A00-000025000000}">
      <text>
        <r>
          <rPr>
            <sz val="11"/>
            <rFont val="Calibri"/>
          </rPr>
          <t>The NSX-T Tier-1 Gateway Firewall must generate traffic log entries containing information to establish what type of events occurred.</t>
        </r>
      </text>
    </comment>
    <comment ref="O229" authorId="0" shapeId="0" xr:uid="{00000000-0006-0000-0A00-000026000000}">
      <text>
        <r>
          <rPr>
            <sz val="11"/>
            <rFont val="Calibri"/>
          </rPr>
          <t>The NSX-T Tier-1 Gateway Firewall must generate traffic log entries containing information to establish the details of the event.</t>
        </r>
      </text>
    </comment>
    <comment ref="L233" authorId="0" shapeId="0" xr:uid="{00000000-0006-0000-0A00-000027000000}">
      <text>
        <r>
          <rPr>
            <sz val="11"/>
            <rFont val="Calibri"/>
          </rPr>
          <t>The NSX-T Manager must be configured to send logs to a central log server.</t>
        </r>
      </text>
    </comment>
    <comment ref="M233" authorId="0" shapeId="0" xr:uid="{00000000-0006-0000-0A00-000028000000}">
      <text>
        <r>
          <rPr>
            <sz val="11"/>
            <rFont val="Calibri"/>
          </rPr>
          <t>The NSX-T Manager must generate log records for the info level to capture the DoD-required auditable events.</t>
        </r>
      </text>
    </comment>
    <comment ref="N233" authorId="0" shapeId="0" xr:uid="{00000000-0006-0000-0A00-000029000000}">
      <text>
        <r>
          <rPr>
            <sz val="11"/>
            <rFont val="Calibri"/>
          </rPr>
          <t>The NSX-T Manager must be configured to send log data to a central log server for the purpose of forwarding alerts to the administrators and the Information System Security Officer (ISSO).</t>
        </r>
      </text>
    </comment>
    <comment ref="L244" authorId="0" shapeId="0" xr:uid="{00000000-0006-0000-0A00-00002A000000}">
      <text>
        <r>
          <rPr>
            <sz val="11"/>
            <rFont val="Calibri"/>
          </rPr>
          <t>The NSX-T Manager must be configured to synchronize internal information system clocks using redundant authoritative time sources.</t>
        </r>
      </text>
    </comment>
    <comment ref="L245" authorId="0" shapeId="0" xr:uid="{00000000-0006-0000-0A00-00002B000000}">
      <text>
        <r>
          <rPr>
            <sz val="11"/>
            <rFont val="Calibri"/>
          </rPr>
          <t>The NSX-T Manager must be configured to synchronize internal information system clocks using redundant authoritative time sources.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The NSX-T Manager must be running a release that is currently supported by the vendor.</t>
        </r>
      </text>
    </comment>
    <comment ref="H345" authorId="0" shapeId="0" xr:uid="{00000000-0006-0000-0B00-000002000000}">
      <text>
        <r>
          <rPr>
            <sz val="11"/>
            <rFont val="Calibri"/>
          </rPr>
          <t>NSX-T Manager must restrict the use of configuration, administration, and the execution of privileged commands to authorized personnel based on organization-defined roles.</t>
        </r>
      </text>
    </comment>
    <comment ref="H349" authorId="0" shapeId="0" xr:uid="{00000000-0006-0000-0B00-000003000000}">
      <text>
        <r>
          <rPr>
            <sz val="11"/>
            <rFont val="Calibri"/>
          </rPr>
          <t>The NSX-T Tier-0 Gateway Firewall must be configured to use the TLS or LI-TLS protocols to configure and secure communications with the central audit server.</t>
        </r>
      </text>
    </comment>
    <comment ref="I349" authorId="0" shapeId="0" xr:uid="{00000000-0006-0000-0B00-000005000000}">
      <text>
        <r>
          <rPr>
            <sz val="11"/>
            <rFont val="Calibri"/>
          </rPr>
          <t>The NSX-T Manager must disable TLS 1.1 and enable TLS 1.2.</t>
        </r>
      </text>
    </comment>
    <comment ref="J349" authorId="0" shapeId="0" xr:uid="{00000000-0006-0000-0B00-000004000000}">
      <text>
        <r>
          <rPr>
            <sz val="11"/>
            <rFont val="Calibri"/>
          </rPr>
          <t>The NSX-T Manager must enable the global FIPS compliance mode for load balancers.</t>
        </r>
      </text>
    </comment>
    <comment ref="H355" authorId="0" shapeId="0" xr:uid="{00000000-0006-0000-0B00-000006000000}">
      <text>
        <r>
          <rPr>
            <sz val="11"/>
            <rFont val="Calibri"/>
          </rPr>
          <t>The NSX-T Manager must be configured to synchronize internal information system clocks using redundant authoritative time sources.</t>
        </r>
      </text>
    </comment>
    <comment ref="H360" authorId="0" shapeId="0" xr:uid="{00000000-0006-0000-0B00-000007000000}">
      <text>
        <r>
          <rPr>
            <sz val="11"/>
            <rFont val="Calibri"/>
          </rPr>
          <t>The NSX-T Distributed Firewall must be configured to send traffic log entries to a central audit server for management and configuration of the traffic log entries.</t>
        </r>
      </text>
    </comment>
    <comment ref="I360" authorId="0" shapeId="0" xr:uid="{00000000-0006-0000-0B00-00000A000000}">
      <text>
        <r>
          <rPr>
            <sz val="11"/>
            <rFont val="Calibri"/>
          </rPr>
          <t>The NSX-T Tier-1 Gateway Firewall must be configured to send traffic log entries to a central audit server for management and configuration of the traffic log entries.</t>
        </r>
      </text>
    </comment>
    <comment ref="J360" authorId="0" shapeId="0" xr:uid="{00000000-0006-0000-0B00-00000B000000}">
      <text>
        <r>
          <rPr>
            <sz val="11"/>
            <rFont val="Calibri"/>
          </rPr>
          <t>The NSX-T Manager must be configured to send logs to a central log server.</t>
        </r>
      </text>
    </comment>
    <comment ref="K360" authorId="0" shapeId="0" xr:uid="{00000000-0006-0000-0B00-000008000000}">
      <text>
        <r>
          <rPr>
            <sz val="11"/>
            <rFont val="Calibri"/>
          </rPr>
          <t>The NSX-T Manager must generate log records for the info level to capture the DoD-required auditable events.</t>
        </r>
      </text>
    </comment>
    <comment ref="L360" authorId="0" shapeId="0" xr:uid="{00000000-0006-0000-0B00-000009000000}">
      <text>
        <r>
          <rPr>
            <sz val="11"/>
            <rFont val="Calibri"/>
          </rPr>
          <t>The NSX-T Manager must be configured to send log data to a central log server for the purpose of forwarding alerts to the administrators and the Information System Security Officer (ISSO).</t>
        </r>
      </text>
    </comment>
  </commentList>
</comments>
</file>

<file path=xl/sharedStrings.xml><?xml version="1.0" encoding="utf-8"?>
<sst xmlns="http://schemas.openxmlformats.org/spreadsheetml/2006/main" count="11908" uniqueCount="6060">
  <si>
    <t>Id</t>
  </si>
  <si>
    <t>Title</t>
  </si>
  <si>
    <t>Severity</t>
  </si>
  <si>
    <t>Component</t>
  </si>
  <si>
    <t>MoSCoW</t>
  </si>
  <si>
    <t>OpsImpact</t>
  </si>
  <si>
    <t>Phase</t>
  </si>
  <si>
    <t>ImplStatus</t>
  </si>
  <si>
    <t>Notes</t>
  </si>
  <si>
    <t>Remediation</t>
  </si>
  <si>
    <t>Description</t>
  </si>
  <si>
    <t>Audit</t>
  </si>
  <si>
    <t>Status</t>
  </si>
  <si>
    <t>LogID</t>
  </si>
  <si>
    <t>V-251727</t>
  </si>
  <si>
    <r>
      <rPr>
        <sz val="11"/>
        <rFont val="Calibri"/>
      </rPr>
      <t>The NSX-T Distributed Firewall must generate traffic log entries containing information to establish the details of the event.</t>
    </r>
  </si>
  <si>
    <t>CAT II (Medium)</t>
  </si>
  <si>
    <t>Distributed Firewall</t>
  </si>
  <si>
    <t>Unassigned</t>
  </si>
  <si>
    <t>Unassessed</t>
  </si>
  <si>
    <t>Pending</t>
  </si>
  <si>
    <t/>
  </si>
  <si>
    <r>
      <rPr>
        <sz val="11"/>
        <color rgb="FF000000"/>
        <rFont val="Calibri"/>
      </rPr>
      <t>From the NSX-T Manager web interface, go to Security &gt;&gt; Distributed Firewall &gt;&gt; Category Specific Rules.</t>
    </r>
    <r>
      <rPr>
        <sz val="11"/>
        <color rgb="FF000000"/>
        <rFont val="Calibri"/>
      </rPr>
      <t xml:space="preserve">
</t>
    </r>
    <r>
      <rPr>
        <sz val="11"/>
        <color rgb="FF000000"/>
        <rFont val="Calibri"/>
      </rPr>
      <t>For each rule that has logging disabled, click the gear icon, toggle the logging option to "Enable" and click "Apply".</t>
    </r>
    <r>
      <rPr>
        <sz val="11"/>
        <color rgb="FF000000"/>
        <rFont val="Calibri"/>
      </rPr>
      <t xml:space="preserve">
</t>
    </r>
    <r>
      <rPr>
        <sz val="11"/>
        <color rgb="FF000000"/>
        <rFont val="Calibri"/>
      </rPr>
      <t>or</t>
    </r>
    <r>
      <rPr>
        <sz val="11"/>
        <color rgb="FF000000"/>
        <rFont val="Calibri"/>
      </rPr>
      <t xml:space="preserve">
</t>
    </r>
    <r>
      <rPr>
        <sz val="11"/>
        <color rgb="FF000000"/>
        <rFont val="Calibri"/>
      </rPr>
      <t>For each Policy or Section, click the menu icon on the left and select "Enable Logging for All Rules".</t>
    </r>
    <r>
      <rPr>
        <sz val="11"/>
        <color rgb="FF000000"/>
        <rFont val="Calibri"/>
      </rPr>
      <t xml:space="preserve">
</t>
    </r>
    <r>
      <rPr>
        <sz val="11"/>
        <color rgb="FF000000"/>
        <rFont val="Calibri"/>
      </rPr>
      <t>After all changes are made, click "Publish".</t>
    </r>
  </si>
  <si>
    <r>
      <rPr>
        <sz val="11"/>
        <color rgb="FF000000"/>
        <rFont val="Calibri"/>
      </rPr>
      <t>Without sufficient information to analyze the event, it would be difficult to establish, correlate, and investigate the events leading up to an outage or attack.</t>
    </r>
    <r>
      <rPr>
        <sz val="11"/>
        <color rgb="FF000000"/>
        <rFont val="Calibri"/>
      </rPr>
      <t xml:space="preserve">
</t>
    </r>
    <r>
      <rPr>
        <sz val="11"/>
        <color rgb="FF000000"/>
        <rFont val="Calibri"/>
      </rPr>
      <t>Audit event content that must be included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The NSX-T Distributed Firewall must also generate traffic log records when traffic is denied, restricted, or discarded as well as when attempts are made to send packets between security zones that are not authorized to communicate.</t>
    </r>
    <r>
      <rPr>
        <sz val="11"/>
        <color rgb="FF000000"/>
        <rFont val="Calibri"/>
      </rPr>
      <t xml:space="preserve">
</t>
    </r>
    <r>
      <rPr>
        <sz val="11"/>
        <color rgb="FF000000"/>
        <rFont val="Calibri"/>
      </rPr>
      <t>Satisfies: SRG-NET-000074-FW-000009, SRG-NET-000075-FW-000010, SRG-NET-000076-FW-000011, SRG-NET-000077-FW-000012, SRG-NET-000078-FW-000013, SRG-NET-000492-FW-000006, SRG-NET-000493-FW-000007</t>
    </r>
  </si>
  <si>
    <r>
      <rPr>
        <sz val="11"/>
        <color rgb="FF000000"/>
        <rFont val="Calibri"/>
      </rPr>
      <t>From the NSX-T Manager web interface, go to Security &gt;&gt; Distributed Firewall &gt;&gt; All Rules. For each rule, click the gear icon and verify the Logging setting.</t>
    </r>
    <r>
      <rPr>
        <sz val="11"/>
        <color rgb="FF000000"/>
        <rFont val="Calibri"/>
      </rPr>
      <t xml:space="preserve">
</t>
    </r>
    <r>
      <rPr>
        <sz val="11"/>
        <color rgb="FF000000"/>
        <rFont val="Calibri"/>
      </rPr>
      <t>If Logging is not enabled for any rule, this is a finding.</t>
    </r>
  </si>
  <si>
    <t>V-251728</t>
  </si>
  <si>
    <r>
      <rPr>
        <sz val="11"/>
        <rFont val="Calibri"/>
      </rPr>
      <t>The NSX-T Distributed Firewall must block outbound traffic containing denial-of-service (DoS) attacks to protect against the use of internal information systems to launch any DoS attacks against other networks or endpoints.</t>
    </r>
  </si>
  <si>
    <r>
      <rPr>
        <sz val="11"/>
        <color rgb="FF000000"/>
        <rFont val="Calibri"/>
      </rPr>
      <t>To create a new Flood Protection profile, do the following:</t>
    </r>
    <r>
      <rPr>
        <sz val="11"/>
        <color rgb="FF000000"/>
        <rFont val="Calibri"/>
      </rPr>
      <t xml:space="preserve">
</t>
    </r>
    <r>
      <rPr>
        <sz val="11"/>
        <color rgb="FF000000"/>
        <rFont val="Calibri"/>
      </rPr>
      <t>From the NSX-T Manager web interface, go to Security &gt;&gt; General Settings &gt;&gt; Firewall &gt;&gt; Flood Protection &gt;&gt; Add Profile &gt;&gt; Add Firewall Profile.</t>
    </r>
    <r>
      <rPr>
        <sz val="11"/>
        <color rgb="FF000000"/>
        <rFont val="Calibri"/>
      </rPr>
      <t xml:space="preserve">
</t>
    </r>
    <r>
      <rPr>
        <sz val="11"/>
        <color rgb="FF000000"/>
        <rFont val="Calibri"/>
      </rPr>
      <t>Enter a name and specify appropriate values for the following: TCP Half Open Connection limit, UDP Active Flow Limit, ICMP Active Flow Limit, and Other Active Connection Limit.</t>
    </r>
    <r>
      <rPr>
        <sz val="11"/>
        <color rgb="FF000000"/>
        <rFont val="Calibri"/>
      </rPr>
      <t xml:space="preserve">
</t>
    </r>
    <r>
      <rPr>
        <sz val="11"/>
        <color rgb="FF000000"/>
        <rFont val="Calibri"/>
      </rPr>
      <t>Enable SYN Cache and RST Spoofing, configure the "Applied To" field with the appropriate security groups, and click "Save".</t>
    </r>
  </si>
  <si>
    <r>
      <rPr>
        <sz val="11"/>
        <color rgb="FF000000"/>
        <rFont val="Calibri"/>
      </rPr>
      <t>DoS attacks can take multiple forms but have the common objective of overloading or blocking a network or host to deny or seriously degrade performance. If the network does not provide safeguards against DoS attacks, network resources will be unavailable to users.</t>
    </r>
    <r>
      <rPr>
        <sz val="11"/>
        <color rgb="FF000000"/>
        <rFont val="Calibri"/>
      </rPr>
      <t xml:space="preserve">
</t>
    </r>
    <r>
      <rPr>
        <sz val="11"/>
        <color rgb="FF000000"/>
        <rFont val="Calibri"/>
      </rPr>
      <t>Installation of a firewall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The firewall must include protection against DoS attacks that originate from inside the enclave that can affect either internal or external systems. These attacks may use legitimate or rogue endpoints from inside the enclave. These attacks can be simple "floods" of traffic to saturate circuits or devices, malware that consumes CPU and memory on a device or causes it to crash, or a configuration issue that disables or impairs the proper function of a device. For example, an accidental or deliberate misconfiguration of a routing table can misdirect traffic for multiple networks.</t>
    </r>
    <r>
      <rPr>
        <sz val="11"/>
        <color rgb="FF000000"/>
        <rFont val="Calibri"/>
      </rPr>
      <t xml:space="preserve">
</t>
    </r>
    <r>
      <rPr>
        <sz val="11"/>
        <color rgb="FF000000"/>
        <rFont val="Calibri"/>
      </rPr>
      <t>Satisfies: SRG-NET-000192-FW-000029, SRG-NET-000193-FW-000030</t>
    </r>
  </si>
  <si>
    <r>
      <rPr>
        <sz val="11"/>
        <color rgb="FF000000"/>
        <rFont val="Calibri"/>
      </rPr>
      <t>From the NSX-T Manager web interface, go to Security &gt;&gt; General Settings &gt;&gt; Firewall &gt;&gt; Flood Protection to view Flood Protection profiles.</t>
    </r>
    <r>
      <rPr>
        <sz val="11"/>
        <color rgb="FF000000"/>
        <rFont val="Calibri"/>
      </rPr>
      <t xml:space="preserve">
</t>
    </r>
    <r>
      <rPr>
        <sz val="11"/>
        <color rgb="FF000000"/>
        <rFont val="Calibri"/>
      </rPr>
      <t>If there are no Flood Protection profiles of type "Distributed Firewall", this is a finding.</t>
    </r>
    <r>
      <rPr>
        <sz val="11"/>
        <color rgb="FF000000"/>
        <rFont val="Calibri"/>
      </rPr>
      <t xml:space="preserve">
</t>
    </r>
    <r>
      <rPr>
        <sz val="11"/>
        <color rgb="FF000000"/>
        <rFont val="Calibri"/>
      </rPr>
      <t>If the TCP Half Open Connection limit, UDP Active Flow Limit, ICMP Active Flow Limit, and Other Active Connection Limit are set to "not set" or SYN Cache and RST Spoofing are not enabled on a profile, this is a finding.</t>
    </r>
    <r>
      <rPr>
        <sz val="11"/>
        <color rgb="FF000000"/>
        <rFont val="Calibri"/>
      </rPr>
      <t xml:space="preserve">
</t>
    </r>
    <r>
      <rPr>
        <sz val="11"/>
        <color rgb="FF000000"/>
        <rFont val="Calibri"/>
      </rPr>
      <t>For each distributed firewall flood protection profile, examine the "Applied To" field to view the workloads it is protecting.</t>
    </r>
    <r>
      <rPr>
        <sz val="11"/>
        <color rgb="FF000000"/>
        <rFont val="Calibri"/>
      </rPr>
      <t xml:space="preserve">
</t>
    </r>
    <r>
      <rPr>
        <sz val="11"/>
        <color rgb="FF000000"/>
        <rFont val="Calibri"/>
      </rPr>
      <t>If a distributed firewall flood protection profile is not applied to all workloads through one or more policies, this is a finding.</t>
    </r>
  </si>
  <si>
    <t>V-251729</t>
  </si>
  <si>
    <r>
      <rPr>
        <sz val="11"/>
        <rFont val="Calibri"/>
      </rPr>
      <t>The NSX-T Distributed Firewall must deny network communications traffic by default and allow network communications traffic by exception (i.e., deny all, permit by exception).</t>
    </r>
  </si>
  <si>
    <t>CAT III (Low)</t>
  </si>
  <si>
    <r>
      <rPr>
        <sz val="11"/>
        <color rgb="FF000000"/>
        <rFont val="Calibri"/>
      </rPr>
      <t>From the NSX-T Manager web interface, go to Security &gt;&gt; Distributed Firewall &gt;&gt; Category Specific Rules &gt;&gt; APPLICATION &gt;&gt; Default Layer3 Section &gt;&gt; Default Layer3 Rule and change action to "Drop" or "Reject".</t>
    </r>
    <r>
      <rPr>
        <sz val="11"/>
        <color rgb="FF000000"/>
        <rFont val="Calibri"/>
      </rPr>
      <t xml:space="preserve">
</t>
    </r>
    <r>
      <rPr>
        <sz val="11"/>
        <color rgb="FF000000"/>
        <rFont val="Calibri"/>
      </rPr>
      <t>After all changes are made, click "Publish".</t>
    </r>
    <r>
      <rPr>
        <sz val="11"/>
        <color rgb="FF000000"/>
        <rFont val="Calibri"/>
      </rPr>
      <t xml:space="preserve">
</t>
    </r>
    <r>
      <rPr>
        <sz val="11"/>
        <color rgb="FF000000"/>
        <rFont val="Calibri"/>
      </rPr>
      <t>Note: Before enabling, ensure the necessary rules to whitelist approved traffic are created and published or this change may result in loss of communication for workloads.</t>
    </r>
  </si>
  <si>
    <r>
      <rPr>
        <sz val="11"/>
        <color rgb="FF000000"/>
        <rFont val="Calibri"/>
      </rPr>
      <t>To prevent malicious or accidental leakage of traffic, organizations must implement a deny-by-default security posture at the network perimeter. Such rulesets prevent many malicious exploits or accidental leakage by restricting the traffic to only known sources and only those ports, protocols, or services that are permitted and operationally necessary.</t>
    </r>
    <r>
      <rPr>
        <sz val="11"/>
        <color rgb="FF000000"/>
        <rFont val="Calibri"/>
      </rPr>
      <t xml:space="preserve">
</t>
    </r>
    <r>
      <rPr>
        <sz val="11"/>
        <color rgb="FF000000"/>
        <rFont val="Calibri"/>
      </rPr>
      <t>As a managed boundary interface, the firewall must block all inbound and outbound network traffic unless a filter is installed to explicitly allow it. The allow filters must comply with the Ports, Protocols, and Services Management (PPSM) Category Assurance List (CAL) and Vulnerability Assessment (VA).</t>
    </r>
    <r>
      <rPr>
        <sz val="11"/>
        <color rgb="FF000000"/>
        <rFont val="Calibri"/>
      </rPr>
      <t xml:space="preserve">
</t>
    </r>
    <r>
      <rPr>
        <sz val="11"/>
        <color rgb="FF000000"/>
        <rFont val="Calibri"/>
      </rPr>
      <t>Satisfies: SRG-NET-000202-FW-000039, SRG-NET-000236-FW-000027, SRG-NET-000235-FW-000133</t>
    </r>
  </si>
  <si>
    <r>
      <rPr>
        <sz val="11"/>
        <color rgb="FF000000"/>
        <rFont val="Calibri"/>
      </rPr>
      <t>From the NSX-T Manager web interface, go to Security &gt;&gt; Distributed Firewall &gt;&gt; Category Specific Rules &gt;&gt; APPLICATION &gt;&gt; Default Layer3 Section &gt;&gt; Default Layer3 Rule &gt;&gt; Action.</t>
    </r>
    <r>
      <rPr>
        <sz val="11"/>
        <color rgb="FF000000"/>
        <rFont val="Calibri"/>
      </rPr>
      <t xml:space="preserve">
</t>
    </r>
    <r>
      <rPr>
        <sz val="11"/>
        <color rgb="FF000000"/>
        <rFont val="Calibri"/>
      </rPr>
      <t>If the Default Layer3 Rule is set to "ALLOW", this is a finding.</t>
    </r>
  </si>
  <si>
    <t>V-251730</t>
  </si>
  <si>
    <r>
      <rPr>
        <sz val="11"/>
        <rFont val="Calibri"/>
      </rPr>
      <t>The NSX-T Distributed Firewall must be configured to send traffic log entries to a central audit server for management and configuration of the traffic log entries.</t>
    </r>
  </si>
  <si>
    <r>
      <rPr>
        <sz val="11"/>
        <color rgb="FF000000"/>
        <rFont val="Calibri"/>
      </rPr>
      <t>Change configuration of NSX-T Distributed Firewall to send traffic log entries to a central audit server for management and configuration of the traffic log entries.</t>
    </r>
    <r>
      <rPr>
        <sz val="11"/>
        <color rgb="FF000000"/>
        <rFont val="Calibri"/>
      </rPr>
      <t xml:space="preserve">
</t>
    </r>
    <r>
      <rPr>
        <sz val="11"/>
        <color rgb="FF000000"/>
        <rFont val="Calibri"/>
      </rPr>
      <t>Log in to vSphere vCenter https interface with credentials authorized for administration, navigate to Browse to the host in the vSphere Client inventory &gt;&gt; Configure &gt;&gt; System &gt;&gt; Advanced System Settings &gt;&gt; Edit &gt;&gt; Syslog.global.LogHost &gt;&gt; value &gt;&gt; ssl://hostName1:1514 &gt;&gt; OK.</t>
    </r>
    <r>
      <rPr>
        <sz val="11"/>
        <color rgb="FF000000"/>
        <rFont val="Calibri"/>
      </rPr>
      <t xml:space="preserve">
</t>
    </r>
    <r>
      <rPr>
        <sz val="11"/>
        <color rgb="FF000000"/>
        <rFont val="Calibri"/>
      </rPr>
      <t>Note: Configure the syslog or SNMP server to send an alert if the events server is unable to receive events from the NSX-T and also if denial-of-service (DoS) incidents are detected. This is true if the events server is STIG compliant.</t>
    </r>
  </si>
  <si>
    <r>
      <rPr>
        <sz val="11"/>
        <color rgb="FF000000"/>
        <rFont val="Calibri"/>
      </rPr>
      <t>Without the ability to centrally manage the content captured in the traffic log entries,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DoD requires centralized management of all network component audit record content. Network components requiring centralized traffic log management must have the ability to support centralized management. The content captured in traffic log entries must be managed from a central location (necessitating automation). Centralized management of traffic log records and logs provides for efficiency in maintenance and management of records, as well as the backup and archiving of those records. </t>
    </r>
    <r>
      <rPr>
        <sz val="11"/>
        <color rgb="FF000000"/>
        <rFont val="Calibri"/>
      </rPr>
      <t xml:space="preserve">
</t>
    </r>
    <r>
      <rPr>
        <sz val="11"/>
        <color rgb="FF000000"/>
        <rFont val="Calibri"/>
      </rPr>
      <t>Ensure at least one syslog server is configured on the firewall.</t>
    </r>
    <r>
      <rPr>
        <sz val="11"/>
        <color rgb="FF000000"/>
        <rFont val="Calibri"/>
      </rPr>
      <t xml:space="preserve">
</t>
    </r>
    <r>
      <rPr>
        <sz val="11"/>
        <color rgb="FF000000"/>
        <rFont val="Calibri"/>
      </rPr>
      <t>If the product inherently has the ability to store log records locally, the local log must also be secured. However, this requirement is not met since it calls for a use of a central audit server.</t>
    </r>
  </si>
  <si>
    <r>
      <rPr>
        <sz val="11"/>
        <color rgb="FF000000"/>
        <rFont val="Calibri"/>
      </rPr>
      <t>Verify NSX-T Distributed Firewall is configured to send traffic log entries to a central audit server for management and configuration of the traffic log entries.</t>
    </r>
    <r>
      <rPr>
        <sz val="11"/>
        <color rgb="FF000000"/>
        <rFont val="Calibri"/>
      </rPr>
      <t xml:space="preserve">
</t>
    </r>
    <r>
      <rPr>
        <sz val="11"/>
        <color rgb="FF000000"/>
        <rFont val="Calibri"/>
      </rPr>
      <t>Log in to vSphere vCenter https interface with credentials authorized for administration. Navigate to Browse to the host in the vSphere Client inventory &gt;&gt; Configure &gt;&gt; System &gt;&gt; Advanced System Settings &gt;&gt; Edit &gt;&gt; Syslog.global.LogHost.</t>
    </r>
    <r>
      <rPr>
        <sz val="11"/>
        <color rgb="FF000000"/>
        <rFont val="Calibri"/>
      </rPr>
      <t xml:space="preserve">
</t>
    </r>
    <r>
      <rPr>
        <sz val="11"/>
        <color rgb="FF000000"/>
        <rFont val="Calibri"/>
      </rPr>
      <t>Verify a STIG compliant events server is configured.</t>
    </r>
    <r>
      <rPr>
        <sz val="11"/>
        <color rgb="FF000000"/>
        <rFont val="Calibri"/>
      </rPr>
      <t xml:space="preserve">
</t>
    </r>
    <r>
      <rPr>
        <sz val="11"/>
        <color rgb="FF000000"/>
        <rFont val="Calibri"/>
      </rPr>
      <t>If Syslog.global.LogHost is not configured with a STIG compliant events server, this is a finding.</t>
    </r>
  </si>
  <si>
    <t>V-251731</t>
  </si>
  <si>
    <r>
      <rPr>
        <sz val="11"/>
        <rFont val="Calibri"/>
      </rPr>
      <t>The NSX-T Distributed Firewall must employ filters that prevent or limit the effects of all types of commonly known denial-of-service (DoS) attacks, including flooding, packet sweeps, and unauthorized port scanning.</t>
    </r>
  </si>
  <si>
    <r>
      <rPr>
        <sz val="11"/>
        <color rgb="FF000000"/>
        <rFont val="Calibri"/>
      </rPr>
      <t>To create a new Flood Protection profile do the following:</t>
    </r>
    <r>
      <rPr>
        <sz val="11"/>
        <color rgb="FF000000"/>
        <rFont val="Calibri"/>
      </rPr>
      <t xml:space="preserve">
</t>
    </r>
    <r>
      <rPr>
        <sz val="11"/>
        <color rgb="FF000000"/>
        <rFont val="Calibri"/>
      </rPr>
      <t>From the NSX-T Manager web interface, go to Security &gt;&gt; Security Profiles &gt;&gt; Flood Protection &gt;&gt; Add Profile &gt;&gt; Add Firewall Profile.</t>
    </r>
    <r>
      <rPr>
        <sz val="11"/>
        <color rgb="FF000000"/>
        <rFont val="Calibri"/>
      </rPr>
      <t xml:space="preserve">
</t>
    </r>
    <r>
      <rPr>
        <sz val="11"/>
        <color rgb="FF000000"/>
        <rFont val="Calibri"/>
      </rPr>
      <t>Enter a name and specify appropriate values for the following: TCP Half Open Connection limit, UDP Active Flow Limit, ICMP Active Flow Limit, and Other Active Connection Limit.</t>
    </r>
    <r>
      <rPr>
        <sz val="11"/>
        <color rgb="FF000000"/>
        <rFont val="Calibri"/>
      </rPr>
      <t xml:space="preserve">
</t>
    </r>
    <r>
      <rPr>
        <sz val="11"/>
        <color rgb="FF000000"/>
        <rFont val="Calibri"/>
      </rPr>
      <t>Enable SYN Cache and RST Spoofing then configure the "Applied To" field with the appropriate security groups, and then click "Save".</t>
    </r>
  </si>
  <si>
    <r>
      <rPr>
        <sz val="11"/>
        <color rgb="FF000000"/>
        <rFont val="Calibri"/>
      </rPr>
      <t>Not configuring a key boundary security protection device, such as the firewall, against commonly known attacks is an immediate threat to the protected enclave because they are easily implemented by those with little skill. Directions for the attack are obtainable on the internet and in hacker groups. Without filtering enabled for these attacks, the firewall will allow these attacks beyond the protected boundary.</t>
    </r>
    <r>
      <rPr>
        <sz val="11"/>
        <color rgb="FF000000"/>
        <rFont val="Calibri"/>
      </rPr>
      <t xml:space="preserve">
</t>
    </r>
    <r>
      <rPr>
        <sz val="11"/>
        <color rgb="FF000000"/>
        <rFont val="Calibri"/>
      </rPr>
      <t>Configure the perimeter and internal boundary firewall to guard against the three general methods of well-known DoS attacks: Flooding attacks, protocol sweeping attacks, and unauthorized port scanning.</t>
    </r>
    <r>
      <rPr>
        <sz val="11"/>
        <color rgb="FF000000"/>
        <rFont val="Calibri"/>
      </rPr>
      <t xml:space="preserve">
</t>
    </r>
    <r>
      <rPr>
        <sz val="11"/>
        <color rgb="FF000000"/>
        <rFont val="Calibri"/>
      </rPr>
      <t>Flood attacks occur when the host receives too much traffic to buffer and slows down or crashes. Popular flood attacks include ICMP flood and SYN flood. A TCP flood attack of SYN packets initiating connection requests can overwhelm the device until it can no longer process legitimate connection requests, resulting in denial of service. An ICMP flood can overload the device with so many echo requests (ping requests) that it expends all its resources responding and can no longer process valid network traffic, also resulting in denial of service. An attacker might use session table floods and SYN-ACK-ACK proxy floods to fill up the session table of a host.</t>
    </r>
    <r>
      <rPr>
        <sz val="11"/>
        <color rgb="FF000000"/>
        <rFont val="Calibri"/>
      </rPr>
      <t xml:space="preserve">
</t>
    </r>
    <r>
      <rPr>
        <sz val="11"/>
        <color rgb="FF000000"/>
        <rFont val="Calibri"/>
      </rPr>
      <t>In an IP address sweep attack, an attacker sends ICMP echo requests (pings) to multiple destination addresses. If a target host replies, the reply reveals the target's IP address to the attacker. In a TCP sweep attack, an attacker sends TCP SYN packets to the target device as part of the TCP handshake. If the device responds to those packets, the attacker gets an indication that a port in the target device is open, which makes the port vulnerable to attack. In a UDP sweep attack, an attacker sends UDP packets to the target device. If the device responds to those packets, the attacker gets an indication that a port in the target device is open, which makes the port vulnerable to attack.</t>
    </r>
    <r>
      <rPr>
        <sz val="11"/>
        <color rgb="FF000000"/>
        <rFont val="Calibri"/>
      </rPr>
      <t xml:space="preserve">
</t>
    </r>
    <r>
      <rPr>
        <sz val="11"/>
        <color rgb="FF000000"/>
        <rFont val="Calibri"/>
      </rPr>
      <t>In a port scanning attack, an unauthorized application is used to scan the host devices for available services and open ports for subsequent use in an attack. This type of scanning can be used as a DoS attack when the probing packets are sent excessively.</t>
    </r>
  </si>
  <si>
    <r>
      <rPr>
        <sz val="11"/>
        <color rgb="FF000000"/>
        <rFont val="Calibri"/>
      </rPr>
      <t>From the NSX-T Manager web interface, go to Security &gt;&gt; Security Profiles &gt;&gt; Flood Protection to view Flood Protection profiles.</t>
    </r>
    <r>
      <rPr>
        <sz val="11"/>
        <color rgb="FF000000"/>
        <rFont val="Calibri"/>
      </rPr>
      <t xml:space="preserve">
</t>
    </r>
    <r>
      <rPr>
        <sz val="11"/>
        <color rgb="FF000000"/>
        <rFont val="Calibri"/>
      </rPr>
      <t>If there are no Flood Protection profiles of type "Distributed Firewall", this is a finding.</t>
    </r>
    <r>
      <rPr>
        <sz val="11"/>
        <color rgb="FF000000"/>
        <rFont val="Calibri"/>
      </rPr>
      <t xml:space="preserve">
</t>
    </r>
    <r>
      <rPr>
        <sz val="11"/>
        <color rgb="FF000000"/>
        <rFont val="Calibri"/>
      </rPr>
      <t>If the TCP Half Open Connection limit, UDP Active Flow Limit, ICMP Active Flow Limit, and Other Active Connection Limit are set to "not set" or SYN Cache and RST Spoofing is not Enabled on a profile, this is a finding.</t>
    </r>
    <r>
      <rPr>
        <sz val="11"/>
        <color rgb="FF000000"/>
        <rFont val="Calibri"/>
      </rPr>
      <t xml:space="preserve">
</t>
    </r>
    <r>
      <rPr>
        <sz val="11"/>
        <color rgb="FF000000"/>
        <rFont val="Calibri"/>
      </rPr>
      <t>For each distributed firewall flood protection profile, examine the "Applied To" field to view the workloads it is protecting.</t>
    </r>
    <r>
      <rPr>
        <sz val="11"/>
        <color rgb="FF000000"/>
        <rFont val="Calibri"/>
      </rPr>
      <t xml:space="preserve">
</t>
    </r>
    <r>
      <rPr>
        <sz val="11"/>
        <color rgb="FF000000"/>
        <rFont val="Calibri"/>
      </rPr>
      <t>If a distributed firewall flood protection profile is not applied to all workloads through one or more policies, this is a finding.</t>
    </r>
  </si>
  <si>
    <t>V-251732</t>
  </si>
  <si>
    <r>
      <rPr>
        <sz val="11"/>
        <rFont val="Calibri"/>
      </rPr>
      <t>The NSX-T Distributed Firewall must configure SpoofGuard to block outbound IP packets that contain illegitimate packet attributes.</t>
    </r>
  </si>
  <si>
    <r>
      <rPr>
        <sz val="11"/>
        <color rgb="FF000000"/>
        <rFont val="Calibri"/>
      </rPr>
      <t>To create a segment profile with SpoofGuard enabled, do the following:</t>
    </r>
    <r>
      <rPr>
        <sz val="11"/>
        <color rgb="FF000000"/>
        <rFont val="Calibri"/>
      </rPr>
      <t xml:space="preserve">
</t>
    </r>
    <r>
      <rPr>
        <sz val="11"/>
        <color rgb="FF000000"/>
        <rFont val="Calibri"/>
      </rPr>
      <t>From the NSX-T Manager web interface, go to Networking &gt;&gt; Segments &gt;&gt; Segment Profiles &gt;&gt; Add Segment Profile &gt;&gt; SpoofGuard.</t>
    </r>
    <r>
      <rPr>
        <sz val="11"/>
        <color rgb="FF000000"/>
        <rFont val="Calibri"/>
      </rPr>
      <t xml:space="preserve">
</t>
    </r>
    <r>
      <rPr>
        <sz val="11"/>
        <color rgb="FF000000"/>
        <rFont val="Calibri"/>
      </rPr>
      <t>Enter a profile name and enable port bindings, then click "Save".</t>
    </r>
    <r>
      <rPr>
        <sz val="11"/>
        <color rgb="FF000000"/>
        <rFont val="Calibri"/>
      </rPr>
      <t xml:space="preserve">
</t>
    </r>
    <r>
      <rPr>
        <sz val="11"/>
        <color rgb="FF000000"/>
        <rFont val="Calibri"/>
      </rPr>
      <t>To update a Segments SpoofGuard profile, do the following:</t>
    </r>
    <r>
      <rPr>
        <sz val="11"/>
        <color rgb="FF000000"/>
        <rFont val="Calibri"/>
      </rPr>
      <t xml:space="preserve">
</t>
    </r>
    <r>
      <rPr>
        <sz val="11"/>
        <color rgb="FF000000"/>
        <rFont val="Calibri"/>
      </rPr>
      <t>From the NSX-T Manager web interface, go to the Networking &gt;&gt; Segments, and click "Edit" from the drop-down menu next to the target Segment.</t>
    </r>
    <r>
      <rPr>
        <sz val="11"/>
        <color rgb="FF000000"/>
        <rFont val="Calibri"/>
      </rPr>
      <t xml:space="preserve">
</t>
    </r>
    <r>
      <rPr>
        <sz val="11"/>
        <color rgb="FF000000"/>
        <rFont val="Calibri"/>
      </rPr>
      <t>Expand "Segment Profiles" then choose the new SpoofGuard profile from the drop-down list, and then click "Save".</t>
    </r>
  </si>
  <si>
    <r>
      <rPr>
        <sz val="11"/>
        <color rgb="FF000000"/>
        <rFont val="Calibri"/>
      </rPr>
      <t>SpoofGuard helps prevent a form of malicious attack called "web spoofing" or "phishing." A SpoofGuard policy blocks traffic determined to be spoofed.</t>
    </r>
    <r>
      <rPr>
        <sz val="11"/>
        <color rgb="FF000000"/>
        <rFont val="Calibri"/>
      </rPr>
      <t xml:space="preserve">
</t>
    </r>
    <r>
      <rPr>
        <sz val="11"/>
        <color rgb="FF000000"/>
        <rFont val="Calibri"/>
      </rPr>
      <t>SpoofGuard is a tool that is designed to prevent virtual machines in your environment from sending traffic with an IP address from which it is not authorized to send traffic. In the instance that a virtual machine's IP address does not match the IP address on the corresponding logical port and segment address binding in SpoofGuard, the virtual machine's vNIC is prevented from accessing the network entirely. SpoofGuard can be configured at the port or segment level. There are several reasons SpoofGuard might be used in your environment, but for the distributed firewall it will guarantee that rules will not be inadvertently (or deliberately) bypassed. For DFW rules created utilizing IP sets as sources or destinations, the possibility always exists that a virtual machine could have its IP address forged in the packet header, thereby bypassing the rules in question.</t>
    </r>
  </si>
  <si>
    <r>
      <rPr>
        <sz val="11"/>
        <color rgb="FF000000"/>
        <rFont val="Calibri"/>
      </rPr>
      <t>From the NSX-T Manager web interface, go to Networking &gt;&gt; Segments, and for each Segment, view Segment Profiles &gt;&gt; SpoofGuard.</t>
    </r>
    <r>
      <rPr>
        <sz val="11"/>
        <color rgb="FF000000"/>
        <rFont val="Calibri"/>
      </rPr>
      <t xml:space="preserve">
</t>
    </r>
    <r>
      <rPr>
        <sz val="11"/>
        <color rgb="FF000000"/>
        <rFont val="Calibri"/>
      </rPr>
      <t>If a Segment is not configured with a SpoofGuard profile that has Port Binding enabled, this is a finding.</t>
    </r>
  </si>
  <si>
    <t>V-251733</t>
  </si>
  <si>
    <r>
      <rPr>
        <sz val="11"/>
        <rFont val="Calibri"/>
      </rPr>
      <t>The NSX-T Distributed Firewall must verify time-based firewall rules.</t>
    </r>
  </si>
  <si>
    <r>
      <rPr>
        <sz val="11"/>
        <color rgb="FF000000"/>
        <rFont val="Calibri"/>
      </rPr>
      <t>From the NSX-T Manager web interface, go to Security &gt;&gt; Distributed Firewall &gt;&gt; Category Specific Rules.</t>
    </r>
    <r>
      <rPr>
        <sz val="11"/>
        <color rgb="FF000000"/>
        <rFont val="Calibri"/>
      </rPr>
      <t xml:space="preserve">
</t>
    </r>
    <r>
      <rPr>
        <sz val="11"/>
        <color rgb="FF000000"/>
        <rFont val="Calibri"/>
      </rPr>
      <t>Navigate to the offending Category and Policy section, click on the clock icon, then delete or modify the time window for that Policy. Click "Apply".</t>
    </r>
    <r>
      <rPr>
        <sz val="11"/>
        <color rgb="FF000000"/>
        <rFont val="Calibri"/>
      </rPr>
      <t xml:space="preserve">
</t>
    </r>
    <r>
      <rPr>
        <sz val="11"/>
        <color rgb="FF000000"/>
        <rFont val="Calibri"/>
      </rPr>
      <t>After all changes are made click "Publish".</t>
    </r>
  </si>
  <si>
    <r>
      <rPr>
        <sz val="11"/>
        <color rgb="FF000000"/>
        <rFont val="Calibri"/>
      </rPr>
      <t>With time windows, security administrators can restrict traffic from a source or to a destination, for a specific time period.</t>
    </r>
    <r>
      <rPr>
        <sz val="11"/>
        <color rgb="FF000000"/>
        <rFont val="Calibri"/>
      </rPr>
      <t xml:space="preserve">
</t>
    </r>
    <r>
      <rPr>
        <sz val="11"/>
        <color rgb="FF000000"/>
        <rFont val="Calibri"/>
      </rPr>
      <t>Time windows apply to a firewall policy section, and all the rules in it. Each firewall policy section can have one time window. The same time window can be applied to more than one policy section. If you want the same rule applied on different days or different times for different sites, you must create more than one policy section. Time-based rules are available for distributed and gateway firewalls on both ESXi and KVM hosts.</t>
    </r>
    <r>
      <rPr>
        <sz val="11"/>
        <color rgb="FF000000"/>
        <rFont val="Calibri"/>
      </rPr>
      <t xml:space="preserve">
</t>
    </r>
    <r>
      <rPr>
        <sz val="11"/>
        <color rgb="FF000000"/>
        <rFont val="Calibri"/>
      </rPr>
      <t>If time windows are not verified and periodically checked, a malicious actor could create time windows to effectively disable rules while not being obvious to firewall administrators.</t>
    </r>
  </si>
  <si>
    <r>
      <rPr>
        <sz val="11"/>
        <color rgb="FF000000"/>
        <rFont val="Calibri"/>
      </rPr>
      <t>From the NSX-T Manager web interface, go to Security &gt;&gt; Distributed Firewall &gt;&gt; Category Specific Rules.</t>
    </r>
    <r>
      <rPr>
        <sz val="11"/>
        <color rgb="FF000000"/>
        <rFont val="Calibri"/>
      </rPr>
      <t xml:space="preserve">
</t>
    </r>
    <r>
      <rPr>
        <sz val="11"/>
        <color rgb="FF000000"/>
        <rFont val="Calibri"/>
      </rPr>
      <t>For each category, verify each Policy has no time windows configured or any existing time windows are expected. This can be viewed by clicking on the clock icon in each Policy section.</t>
    </r>
    <r>
      <rPr>
        <sz val="11"/>
        <color rgb="FF000000"/>
        <rFont val="Calibri"/>
      </rPr>
      <t xml:space="preserve">
</t>
    </r>
    <r>
      <rPr>
        <sz val="11"/>
        <color rgb="FF000000"/>
        <rFont val="Calibri"/>
      </rPr>
      <t>If there are unexpected or misconfigured time windows, this is a finding.</t>
    </r>
  </si>
  <si>
    <t>V-251734</t>
  </si>
  <si>
    <r>
      <rPr>
        <sz val="11"/>
        <rFont val="Calibri"/>
      </rPr>
      <t>The NSX-T Controller must be configured as a cluster in active/active mode to preserve any information necessary to determine cause of a system failure and to maintain network operations with least disruption to workload processes and flows.</t>
    </r>
  </si>
  <si>
    <t>SDN Controller</t>
  </si>
  <si>
    <r>
      <rPr>
        <sz val="11"/>
        <color rgb="FF000000"/>
        <rFont val="Calibri"/>
      </rPr>
      <t>To add additional NSX-T Manager appliances do the following:</t>
    </r>
    <r>
      <rPr>
        <sz val="11"/>
        <color rgb="FF000000"/>
        <rFont val="Calibri"/>
      </rPr>
      <t xml:space="preserve">
</t>
    </r>
    <r>
      <rPr>
        <sz val="11"/>
        <color rgb="FF000000"/>
        <rFont val="Calibri"/>
      </rPr>
      <t>From the NSX-T Manager web interface, go to System &gt;&gt;Appliances, and then click "Add NSX Appliance". Supply the required information to add additional nodes as needed, up to three total.</t>
    </r>
    <r>
      <rPr>
        <sz val="11"/>
        <color rgb="FF000000"/>
        <rFont val="Calibri"/>
      </rPr>
      <t xml:space="preserve">
</t>
    </r>
    <r>
      <rPr>
        <sz val="11"/>
        <color rgb="FF000000"/>
        <rFont val="Calibri"/>
      </rPr>
      <t>To configure NSX-T with a cluster VIP or external load balancer do the following:</t>
    </r>
    <r>
      <rPr>
        <sz val="11"/>
        <color rgb="FF000000"/>
        <rFont val="Calibri"/>
      </rPr>
      <t xml:space="preserve">
</t>
    </r>
    <r>
      <rPr>
        <sz val="11"/>
        <color rgb="FF000000"/>
        <rFont val="Calibri"/>
      </rPr>
      <t>From the NSX-T Manager web interface, go to System &gt;&gt; Appliances, and then click "Set Virtual IP", enter a VIP that is part of the same subnet as the other management nodes, and then click "Save".</t>
    </r>
    <r>
      <rPr>
        <sz val="11"/>
        <color rgb="FF000000"/>
        <rFont val="Calibri"/>
      </rPr>
      <t xml:space="preserve">
</t>
    </r>
    <r>
      <rPr>
        <sz val="11"/>
        <color rgb="FF000000"/>
        <rFont val="Calibri"/>
      </rPr>
      <t>To configure NSX-T with an external load balancer, setup an external load balancer with the following requirements:</t>
    </r>
    <r>
      <rPr>
        <sz val="11"/>
        <color rgb="FF000000"/>
        <rFont val="Calibri"/>
      </rPr>
      <t xml:space="preserve">
</t>
    </r>
    <r>
      <rPr>
        <sz val="11"/>
        <color rgb="FF000000"/>
        <rFont val="Calibri"/>
      </rPr>
      <t>- Configure the external load balancer to control traffic to the NSX Manager nodes.</t>
    </r>
    <r>
      <rPr>
        <sz val="11"/>
        <color rgb="FF000000"/>
        <rFont val="Calibri"/>
      </rPr>
      <t xml:space="preserve">
</t>
    </r>
    <r>
      <rPr>
        <sz val="11"/>
        <color rgb="FF000000"/>
        <rFont val="Calibri"/>
      </rPr>
      <t>- Configure the external load balancer to use the round robin method and configure source persistence for the load balancer's virtual IP.</t>
    </r>
    <r>
      <rPr>
        <sz val="11"/>
        <color rgb="FF000000"/>
        <rFont val="Calibri"/>
      </rPr>
      <t xml:space="preserve">
</t>
    </r>
    <r>
      <rPr>
        <sz val="11"/>
        <color rgb="FF000000"/>
        <rFont val="Calibri"/>
      </rPr>
      <t>- Create or import a signed certificate and apply the same certificate to all the NSX Manager nodes. The certificate must have the FQDN of the virtual IP and each of the nodes in the SAN.</t>
    </r>
    <r>
      <rPr>
        <sz val="11"/>
        <color rgb="FF000000"/>
        <rFont val="Calibri"/>
      </rPr>
      <t xml:space="preserve">
</t>
    </r>
    <r>
      <rPr>
        <sz val="11"/>
        <color rgb="FF000000"/>
        <rFont val="Calibri"/>
      </rPr>
      <t>Note: An external load balancer will not work with the NSX Manager VIP. Do not configure an NSX Manager VIP if using an external load balancer.</t>
    </r>
    <r>
      <rPr>
        <sz val="11"/>
        <color rgb="FF000000"/>
        <rFont val="Calibri"/>
      </rPr>
      <t xml:space="preserve">
</t>
    </r>
    <r>
      <rPr>
        <sz val="11"/>
        <color rgb="FF000000"/>
        <rFont val="Calibri"/>
      </rPr>
      <t>If the cluster status is not in a healthy state identify the degraded component on the appliance and troubleshoot the issue with the error information provided.</t>
    </r>
  </si>
  <si>
    <r>
      <rPr>
        <sz val="11"/>
        <color rgb="FF000000"/>
        <rFont val="Calibri"/>
      </rPr>
      <t>Failure in a known state can address safety or security in accordance with the mission needs of the organization. Failure to a known secure state helps prevent a loss of confidentiality, integrity, or availability in the event of a failure of the SDN controller. Preserving network element state information helps to facilitate continuous network operations minimal or no disruption to mission-essential workload processes and flows.</t>
    </r>
  </si>
  <si>
    <r>
      <rPr>
        <sz val="11"/>
        <color rgb="FF000000"/>
        <rFont val="Calibri"/>
      </rPr>
      <t>From the NSX-T Manager web interface, go to System &gt;&gt; Appliances.</t>
    </r>
    <r>
      <rPr>
        <sz val="11"/>
        <color rgb="FF000000"/>
        <rFont val="Calibri"/>
      </rPr>
      <t xml:space="preserve">
</t>
    </r>
    <r>
      <rPr>
        <sz val="11"/>
        <color rgb="FF000000"/>
        <rFont val="Calibri"/>
      </rPr>
      <t xml:space="preserve">Verify there are three NSX-T Managers deployed, a VIP or external load balancer is configured, and the cluster is in a healthy state. </t>
    </r>
    <r>
      <rPr>
        <sz val="11"/>
        <color rgb="FF000000"/>
        <rFont val="Calibri"/>
      </rPr>
      <t xml:space="preserve">
</t>
    </r>
    <r>
      <rPr>
        <sz val="11"/>
        <color rgb="FF000000"/>
        <rFont val="Calibri"/>
      </rPr>
      <t>If there are not three NSX-T Managers deployed and a VIP or external load balancer configured and the cluster is in a healthy state, this is a finding.</t>
    </r>
  </si>
  <si>
    <t>V-251735</t>
  </si>
  <si>
    <r>
      <rPr>
        <sz val="11"/>
        <rFont val="Calibri"/>
      </rPr>
      <t>The NSX-T Controller cluster must be on separate physical hosts.</t>
    </r>
  </si>
  <si>
    <r>
      <rPr>
        <sz val="11"/>
        <color rgb="FF000000"/>
        <rFont val="Calibri"/>
      </rPr>
      <t>This fix must be performed in vCenter.</t>
    </r>
    <r>
      <rPr>
        <sz val="11"/>
        <color rgb="FF000000"/>
        <rFont val="Calibri"/>
      </rPr>
      <t xml:space="preserve">
</t>
    </r>
    <r>
      <rPr>
        <sz val="11"/>
        <color rgb="FF000000"/>
        <rFont val="Calibri"/>
      </rPr>
      <t>From the vSphere Client, go to Administration &gt;&gt; Hosts and Clusters &gt;&gt; Select the cluster where the NSX-T Managers are deployed &gt;&gt; Configure &gt;&gt; Configuration &gt;&gt; VM/Host Rules.</t>
    </r>
    <r>
      <rPr>
        <sz val="11"/>
        <color rgb="FF000000"/>
        <rFont val="Calibri"/>
      </rPr>
      <t xml:space="preserve">
</t>
    </r>
    <r>
      <rPr>
        <sz val="11"/>
        <color rgb="FF000000"/>
        <rFont val="Calibri"/>
      </rPr>
      <t>Click "Add" to create a new rule.</t>
    </r>
    <r>
      <rPr>
        <sz val="11"/>
        <color rgb="FF000000"/>
        <rFont val="Calibri"/>
      </rPr>
      <t xml:space="preserve">
</t>
    </r>
    <r>
      <rPr>
        <sz val="11"/>
        <color rgb="FF000000"/>
        <rFont val="Calibri"/>
      </rPr>
      <t>Provide a name and select "Separate Virtual Machines" under Type.</t>
    </r>
    <r>
      <rPr>
        <sz val="11"/>
        <color rgb="FF000000"/>
        <rFont val="Calibri"/>
      </rPr>
      <t xml:space="preserve">
</t>
    </r>
    <r>
      <rPr>
        <sz val="11"/>
        <color rgb="FF000000"/>
        <rFont val="Calibri"/>
      </rPr>
      <t>Add the three NSX-T Manager virtual machines to the list and click "OK".</t>
    </r>
  </si>
  <si>
    <r>
      <rPr>
        <sz val="11"/>
        <color rgb="FF000000"/>
        <rFont val="Calibri"/>
      </rPr>
      <t>SDN relies heavily on control messages between a controller and the forwarding devices for network convergence. The controller uses node and link state discovery information to calculate and determine optimum pathing within the SDN network infrastructure based on application, business, and security policies. Operating in the proactive flow instantiation mode, the SDN controller populates forwarding tables to the SDN-aware forwarding devices. At times, the SDN controller must function in reactive flow instantiation mode; that is, when a forwarding device receives a packet for a flow not found in its forwarding table, it must send it to the controller to receive forwarding instructions.</t>
    </r>
    <r>
      <rPr>
        <sz val="11"/>
        <color rgb="FF000000"/>
        <rFont val="Calibri"/>
      </rPr>
      <t xml:space="preserve">
</t>
    </r>
    <r>
      <rPr>
        <sz val="11"/>
        <color rgb="FF000000"/>
        <rFont val="Calibri"/>
      </rPr>
      <t>With total dependence on the SDN controller for determining forwarding decisions and path optimization within the SDN infrastructure for both proactive and reactive flow modes of operation, having a single point of failure is not acceptable. A controller failure with no failover backup leaves the network in an unmanaged state. Hence, it is imperative that the SDN controllers are deployed as clusters on separate physical hosts to guarantee network high availability.</t>
    </r>
  </si>
  <si>
    <r>
      <rPr>
        <sz val="11"/>
        <color rgb="FF000000"/>
        <rFont val="Calibri"/>
      </rPr>
      <t>This check must be performed in vCenter.</t>
    </r>
    <r>
      <rPr>
        <sz val="11"/>
        <color rgb="FF000000"/>
        <rFont val="Calibri"/>
      </rPr>
      <t xml:space="preserve">
</t>
    </r>
    <r>
      <rPr>
        <sz val="11"/>
        <color rgb="FF000000"/>
        <rFont val="Calibri"/>
      </rPr>
      <t>From the vSphere Client, go to Administration &gt;&gt; Hosts and Clusters &gt;&gt; Select the cluster where the NSX-T Managers are deployed &gt;&gt; Configure &gt;&gt; Configuration &gt;&gt; VM/Host Rules.</t>
    </r>
    <r>
      <rPr>
        <sz val="11"/>
        <color rgb="FF000000"/>
        <rFont val="Calibri"/>
      </rPr>
      <t xml:space="preserve">
</t>
    </r>
    <r>
      <rPr>
        <sz val="11"/>
        <color rgb="FF000000"/>
        <rFont val="Calibri"/>
      </rPr>
      <t>If the NSX-T Manager cluster does not have rules applied to it that separate the nodes onto different physical hosts, this is a finding.</t>
    </r>
  </si>
  <si>
    <t>V-251737</t>
  </si>
  <si>
    <r>
      <rPr>
        <sz val="11"/>
        <rFont val="Calibri"/>
      </rPr>
      <t>The NSX-T Tier-0 Gateway Firewall must generate traffic log entries containing information to establish the details of the event.</t>
    </r>
  </si>
  <si>
    <t>Tier-0 Gateway Firewall</t>
  </si>
  <si>
    <r>
      <rPr>
        <sz val="11"/>
        <color rgb="FF000000"/>
        <rFont val="Calibri"/>
      </rPr>
      <t xml:space="preserve">From the NSX-T Manager web interface, go to Security &gt;&gt; Gateway Firewall &gt;&gt; Gateway Specific Rules. </t>
    </r>
    <r>
      <rPr>
        <sz val="11"/>
        <color rgb="FF000000"/>
        <rFont val="Calibri"/>
      </rPr>
      <t xml:space="preserve">
</t>
    </r>
    <r>
      <rPr>
        <sz val="11"/>
        <color rgb="FF000000"/>
        <rFont val="Calibri"/>
      </rPr>
      <t>For each Tier-0 Gateway and for each rule with logging disabled, click the gear icon, enable Logging, and then click "Apply".</t>
    </r>
    <r>
      <rPr>
        <sz val="11"/>
        <color rgb="FF000000"/>
        <rFont val="Calibri"/>
      </rPr>
      <t xml:space="preserve">
</t>
    </r>
    <r>
      <rPr>
        <sz val="11"/>
        <color rgb="FF000000"/>
        <rFont val="Calibri"/>
      </rPr>
      <t>After all changes are made, click "Publish".</t>
    </r>
  </si>
  <si>
    <r>
      <rPr>
        <sz val="11"/>
        <color rgb="FF000000"/>
        <rFont val="Calibri"/>
      </rPr>
      <t>Without sufficient information to analyze the event, it would be difficult to establish, correlate, and investigate the events leading up to an outage or attack.</t>
    </r>
    <r>
      <rPr>
        <sz val="11"/>
        <color rgb="FF000000"/>
        <rFont val="Calibri"/>
      </rPr>
      <t xml:space="preserve">
</t>
    </r>
    <r>
      <rPr>
        <sz val="11"/>
        <color rgb="FF000000"/>
        <rFont val="Calibri"/>
      </rPr>
      <t>Audit event content that must be included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The Firewall must also generate traffic log records when traffic is denied, restricted, or discarded as well as when attempts are made to send packets between security zones that are not authorized to communicate.</t>
    </r>
    <r>
      <rPr>
        <sz val="11"/>
        <color rgb="FF000000"/>
        <rFont val="Calibri"/>
      </rPr>
      <t xml:space="preserve">
</t>
    </r>
    <r>
      <rPr>
        <sz val="11"/>
        <color rgb="FF000000"/>
        <rFont val="Calibri"/>
      </rPr>
      <t>Satisfies: SRG-NET-000074-FW-000009, SRG-NET-000075-FW-000010, SRG-NET-000076-FW-000011, SRG-NET-000077-FW-000012, SRG-NET-000078-FW-000013, SRG-NET-000399-FW-000008, SRG-NET-000492-FW-000006, SRG-NET-000493-FW-000007</t>
    </r>
  </si>
  <si>
    <r>
      <rPr>
        <sz val="11"/>
        <color rgb="FF000000"/>
        <rFont val="Calibri"/>
      </rPr>
      <t>If the Tier-0 Gateway is deployed in an Active/Active HA mode and no stateless rules exist, this is Not Applicable.</t>
    </r>
    <r>
      <rPr>
        <sz val="11"/>
        <color rgb="FF000000"/>
        <rFont val="Calibri"/>
      </rPr>
      <t xml:space="preserve">
</t>
    </r>
    <r>
      <rPr>
        <sz val="11"/>
        <color rgb="FF000000"/>
        <rFont val="Calibri"/>
      </rPr>
      <t xml:space="preserve">From the NSX-T Manager web interface, go to Security &gt;&gt; Gateway Firewall &gt;&gt; Gateway Specific Rules. </t>
    </r>
    <r>
      <rPr>
        <sz val="11"/>
        <color rgb="FF000000"/>
        <rFont val="Calibri"/>
      </rPr>
      <t xml:space="preserve">
</t>
    </r>
    <r>
      <rPr>
        <sz val="11"/>
        <color rgb="FF000000"/>
        <rFont val="Calibri"/>
      </rPr>
      <t>For each Tier-0 Gateway and for each rule, click the gear icon and verify the Logging setting.</t>
    </r>
    <r>
      <rPr>
        <sz val="11"/>
        <color rgb="FF000000"/>
        <rFont val="Calibri"/>
      </rPr>
      <t xml:space="preserve">
</t>
    </r>
    <r>
      <rPr>
        <sz val="11"/>
        <color rgb="FF000000"/>
        <rFont val="Calibri"/>
      </rPr>
      <t>If Logging is not Enabled, this is a finding.</t>
    </r>
  </si>
  <si>
    <t>V-251738</t>
  </si>
  <si>
    <r>
      <rPr>
        <sz val="11"/>
        <rFont val="Calibri"/>
      </rPr>
      <t>The NSX-T Tier-0 Gateway Firewall must be configured to use the TLS or LI-TLS protocols to configure and secure communications with the central audit server.</t>
    </r>
  </si>
  <si>
    <r>
      <rPr>
        <sz val="11"/>
        <color rgb="FF000000"/>
        <rFont val="Calibri"/>
      </rPr>
      <t>(Optional) From an NSX-T Edge Gateway shell, run the following command(s) to clear any existing incorrect logging-servers:</t>
    </r>
    <r>
      <rPr>
        <sz val="11"/>
        <color rgb="FF000000"/>
        <rFont val="Calibri"/>
      </rPr>
      <t xml:space="preserve">
</t>
    </r>
    <r>
      <rPr>
        <sz val="11"/>
        <color rgb="FF000000"/>
        <rFont val="Calibri"/>
      </rPr>
      <t>&gt; clear logging-servers</t>
    </r>
    <r>
      <rPr>
        <sz val="11"/>
        <color rgb="FF000000"/>
        <rFont val="Calibri"/>
      </rPr>
      <t xml:space="preserve">
</t>
    </r>
    <r>
      <rPr>
        <sz val="11"/>
        <color rgb="FF000000"/>
        <rFont val="Calibri"/>
      </rPr>
      <t>From an NSX-T Edge Node shell, run the following command(s) to configure a primary and backup tls syslog server:</t>
    </r>
    <r>
      <rPr>
        <sz val="11"/>
        <color rgb="FF000000"/>
        <rFont val="Calibri"/>
      </rPr>
      <t xml:space="preserve">
</t>
    </r>
    <r>
      <rPr>
        <sz val="11"/>
        <color rgb="FF000000"/>
        <rFont val="Calibri"/>
      </rPr>
      <t>&gt; set logging-server &lt;server-ip or server-name&gt; proto tls level info serverca ca.pem clientca ca.pem certificate cert.pem key key.pem</t>
    </r>
    <r>
      <rPr>
        <sz val="11"/>
        <color rgb="FF000000"/>
        <rFont val="Calibri"/>
      </rPr>
      <t xml:space="preserve">
</t>
    </r>
    <r>
      <rPr>
        <sz val="11"/>
        <color rgb="FF000000"/>
        <rFont val="Calibri"/>
      </rPr>
      <t>From an NSX-T Edge Node shell, run the following command(s) to configure a li-tls syslog server:</t>
    </r>
    <r>
      <rPr>
        <sz val="11"/>
        <color rgb="FF000000"/>
        <rFont val="Calibri"/>
      </rPr>
      <t xml:space="preserve">
</t>
    </r>
    <r>
      <rPr>
        <sz val="11"/>
        <color rgb="FF000000"/>
        <rFont val="Calibri"/>
      </rPr>
      <t>&gt; set logging-server &lt;server-ip or server-name&gt; proto li-tls level info serverca root-ca.crt</t>
    </r>
    <r>
      <rPr>
        <sz val="11"/>
        <color rgb="FF000000"/>
        <rFont val="Calibri"/>
      </rPr>
      <t xml:space="preserve">
</t>
    </r>
    <r>
      <rPr>
        <sz val="11"/>
        <color rgb="FF000000"/>
        <rFont val="Calibri"/>
      </rPr>
      <t>Note: If using the protocols TLS or LI-TLS to configure a secure connection to a log server, the server and client certificates must be stored in /var/vmware/nsx/file-store/ on each NSX-T Edge Gateway appliance.</t>
    </r>
    <r>
      <rPr>
        <sz val="11"/>
        <color rgb="FF000000"/>
        <rFont val="Calibri"/>
      </rPr>
      <t xml:space="preserve">
</t>
    </r>
    <r>
      <rPr>
        <sz val="11"/>
        <color rgb="FF000000"/>
        <rFont val="Calibri"/>
      </rPr>
      <t>Note: Configure the syslog or SNMP server to send an alert if the events server is unable to receive events from the NSX-T and also if DoS incidents are detected. This is true if the events server is STIG compliant.</t>
    </r>
  </si>
  <si>
    <r>
      <rPr>
        <sz val="11"/>
        <color rgb="FF000000"/>
        <rFont val="Calibri"/>
      </rPr>
      <t>It is critical that when the network element is at risk of failing to process traffic logs as required, it takes action to mitigate the failure. Collected log data be secured and access restricted to authorized personnel. Methods of protection may include encryption or logical separation.</t>
    </r>
    <r>
      <rPr>
        <sz val="11"/>
        <color rgb="FF000000"/>
        <rFont val="Calibri"/>
      </rPr>
      <t xml:space="preserve">
</t>
    </r>
    <r>
      <rPr>
        <sz val="11"/>
        <color rgb="FF000000"/>
        <rFont val="Calibri"/>
      </rPr>
      <t xml:space="preserve">In accordance with DOD policy, the traffic log must be sent to a central audit server. </t>
    </r>
    <r>
      <rPr>
        <sz val="11"/>
        <color rgb="FF000000"/>
        <rFont val="Calibri"/>
      </rPr>
      <t xml:space="preserve">
</t>
    </r>
    <r>
      <rPr>
        <sz val="11"/>
        <color rgb="FF000000"/>
        <rFont val="Calibri"/>
      </rPr>
      <t>Ensure at least primary and secondary syslog servers are configured on the firewall.</t>
    </r>
    <r>
      <rPr>
        <sz val="11"/>
        <color rgb="FF000000"/>
        <rFont val="Calibri"/>
      </rPr>
      <t xml:space="preserve">
</t>
    </r>
    <r>
      <rPr>
        <sz val="11"/>
        <color rgb="FF000000"/>
        <rFont val="Calibri"/>
      </rPr>
      <t>If the product inherently has the ability to store log records locally, the local log must also be secured. However, this requirement is not met since it calls for a use of a central audit server.</t>
    </r>
    <r>
      <rPr>
        <sz val="11"/>
        <color rgb="FF000000"/>
        <rFont val="Calibri"/>
      </rPr>
      <t xml:space="preserve">
</t>
    </r>
    <r>
      <rPr>
        <sz val="11"/>
        <color rgb="FF000000"/>
        <rFont val="Calibri"/>
      </rPr>
      <t>This does not apply to traffic logs generated on behalf of the device itself (management). Some devices store traffic logs separately from the system logs.</t>
    </r>
    <r>
      <rPr>
        <sz val="11"/>
        <color rgb="FF000000"/>
        <rFont val="Calibri"/>
      </rPr>
      <t xml:space="preserve">
</t>
    </r>
    <r>
      <rPr>
        <sz val="11"/>
        <color rgb="FF000000"/>
        <rFont val="Calibri"/>
      </rPr>
      <t>Satisfies: SRG-NET-000089-FW-000019, SRG-NET-000098-FW-000021, SRG-NET-000333-FW-000014</t>
    </r>
  </si>
  <si>
    <r>
      <rPr>
        <sz val="11"/>
        <color rgb="FF000000"/>
        <rFont val="Calibri"/>
      </rPr>
      <t>From an NSX-T Edge Node shell hosting the Tier-0 Gateway, run the following command(s):</t>
    </r>
    <r>
      <rPr>
        <sz val="11"/>
        <color rgb="FF000000"/>
        <rFont val="Calibri"/>
      </rPr>
      <t xml:space="preserve">
</t>
    </r>
    <r>
      <rPr>
        <sz val="11"/>
        <color rgb="FF000000"/>
        <rFont val="Calibri"/>
      </rPr>
      <t>&gt; get logging-servers</t>
    </r>
    <r>
      <rPr>
        <sz val="11"/>
        <color rgb="FF000000"/>
        <rFont val="Calibri"/>
      </rPr>
      <t xml:space="preserve">
</t>
    </r>
    <r>
      <rPr>
        <sz val="11"/>
        <color rgb="FF000000"/>
        <rFont val="Calibri"/>
      </rPr>
      <t>If any configured logging-servers are not configured with protocol of "li-tls" or "tls" and level of "info", this is a finding.</t>
    </r>
    <r>
      <rPr>
        <sz val="11"/>
        <color rgb="FF000000"/>
        <rFont val="Calibri"/>
      </rPr>
      <t xml:space="preserve">
</t>
    </r>
    <r>
      <rPr>
        <sz val="11"/>
        <color rgb="FF000000"/>
        <rFont val="Calibri"/>
      </rPr>
      <t>If no logging-servers are configured, this is a finding.</t>
    </r>
    <r>
      <rPr>
        <sz val="11"/>
        <color rgb="FF000000"/>
        <rFont val="Calibri"/>
      </rPr>
      <t xml:space="preserve">
</t>
    </r>
    <r>
      <rPr>
        <sz val="11"/>
        <color rgb="FF000000"/>
        <rFont val="Calibri"/>
      </rPr>
      <t>Note: This check must be run from each NSX-T Edge Node hosting the Tier-0 Gateway, as they are configured individually.</t>
    </r>
  </si>
  <si>
    <t>V-251739</t>
  </si>
  <si>
    <r>
      <rPr>
        <sz val="11"/>
        <rFont val="Calibri"/>
      </rPr>
      <t>The NSX-T Tier-0 Gateway Firewall must block outbound traffic containing denial-of-service (DoS) attacks to protect against the use of internal information systems to launch any DoS attacks against other networks or endpoints.</t>
    </r>
  </si>
  <si>
    <r>
      <rPr>
        <sz val="11"/>
        <color rgb="FF000000"/>
        <rFont val="Calibri"/>
      </rPr>
      <t>To create a new Flood Protection profile, do the following:</t>
    </r>
    <r>
      <rPr>
        <sz val="11"/>
        <color rgb="FF000000"/>
        <rFont val="Calibri"/>
      </rPr>
      <t xml:space="preserve">
</t>
    </r>
    <r>
      <rPr>
        <sz val="11"/>
        <color rgb="FF000000"/>
        <rFont val="Calibri"/>
      </rPr>
      <t>From the NSX-T Manager web interface, go to Security &gt;&gt; General Settings &gt;&gt; Firewall &gt;&gt; Flood Protection &gt;&gt; Add Profile &gt;&gt; Add Edge Gateway Profile.</t>
    </r>
    <r>
      <rPr>
        <sz val="11"/>
        <color rgb="FF000000"/>
        <rFont val="Calibri"/>
      </rPr>
      <t xml:space="preserve">
</t>
    </r>
    <r>
      <rPr>
        <sz val="11"/>
        <color rgb="FF000000"/>
        <rFont val="Calibri"/>
      </rPr>
      <t>Enter a name and specify appropriate values for the following: TCP Half Open Connection limit, UDP Active Flow Limit, ICMP Active Flow Limit, and Other Active Connection Limit.</t>
    </r>
    <r>
      <rPr>
        <sz val="11"/>
        <color rgb="FF000000"/>
        <rFont val="Calibri"/>
      </rPr>
      <t xml:space="preserve">
</t>
    </r>
    <r>
      <rPr>
        <sz val="11"/>
        <color rgb="FF000000"/>
        <rFont val="Calibri"/>
      </rPr>
      <t>Configure the "Applied To" field to contain Tier-0 Gateways, and then click "Save".</t>
    </r>
  </si>
  <si>
    <r>
      <rPr>
        <sz val="11"/>
        <color rgb="FF000000"/>
        <rFont val="Calibri"/>
      </rPr>
      <t>If the Tier-0 Gateway is deployed in an Active/Active HA mode and no stateless rules exist, this is Not Applicable.</t>
    </r>
    <r>
      <rPr>
        <sz val="11"/>
        <color rgb="FF000000"/>
        <rFont val="Calibri"/>
      </rPr>
      <t xml:space="preserve">
</t>
    </r>
    <r>
      <rPr>
        <sz val="11"/>
        <color rgb="FF000000"/>
        <rFont val="Calibri"/>
      </rPr>
      <t>From the NSX-T Manager web interface, go to Security &gt;&gt; General Settings &gt;&gt; Firewall &gt;&gt; Flood Protection to view Flood Protection profiles.</t>
    </r>
    <r>
      <rPr>
        <sz val="11"/>
        <color rgb="FF000000"/>
        <rFont val="Calibri"/>
      </rPr>
      <t xml:space="preserve">
</t>
    </r>
    <r>
      <rPr>
        <sz val="11"/>
        <color rgb="FF000000"/>
        <rFont val="Calibri"/>
      </rPr>
      <t>If there are no Flood Protection profiles of type "Gateway", this is a finding.</t>
    </r>
    <r>
      <rPr>
        <sz val="11"/>
        <color rgb="FF000000"/>
        <rFont val="Calibri"/>
      </rPr>
      <t xml:space="preserve">
</t>
    </r>
    <r>
      <rPr>
        <sz val="11"/>
        <color rgb="FF000000"/>
        <rFont val="Calibri"/>
      </rPr>
      <t>For each gateway flood protection profile, verify the TCP Half Open Connection limit, UDP Active Flow Limit, ICMP Active Flow Limit, and Other Active Connection Limit are set to "None".</t>
    </r>
    <r>
      <rPr>
        <sz val="11"/>
        <color rgb="FF000000"/>
        <rFont val="Calibri"/>
      </rPr>
      <t xml:space="preserve">
</t>
    </r>
    <r>
      <rPr>
        <sz val="11"/>
        <color rgb="FF000000"/>
        <rFont val="Calibri"/>
      </rPr>
      <t>If they are not, this is a finding.</t>
    </r>
    <r>
      <rPr>
        <sz val="11"/>
        <color rgb="FF000000"/>
        <rFont val="Calibri"/>
      </rPr>
      <t xml:space="preserve">
</t>
    </r>
    <r>
      <rPr>
        <sz val="11"/>
        <color rgb="FF000000"/>
        <rFont val="Calibri"/>
      </rPr>
      <t>For each gateway flood protection profile, examine the "Applied To" field to view the Tier-0 Gateways to which it is applied.</t>
    </r>
    <r>
      <rPr>
        <sz val="11"/>
        <color rgb="FF000000"/>
        <rFont val="Calibri"/>
      </rPr>
      <t xml:space="preserve">
</t>
    </r>
    <r>
      <rPr>
        <sz val="11"/>
        <color rgb="FF000000"/>
        <rFont val="Calibri"/>
      </rPr>
      <t>If a gateway flood protection profile is not applied to all applicable Tier-0 Gateways through one or more policies, this is a finding.</t>
    </r>
  </si>
  <si>
    <t>V-251740</t>
  </si>
  <si>
    <r>
      <rPr>
        <sz val="11"/>
        <rFont val="Calibri"/>
      </rPr>
      <t>The NSX-T Tier-1 Gateway Firewall must deny network communications traffic by default and allow network communications traffic by exception (i.e., deny all, permit by exception).</t>
    </r>
  </si>
  <si>
    <r>
      <rPr>
        <sz val="11"/>
        <color rgb="FF000000"/>
        <rFont val="Calibri"/>
      </rPr>
      <t>From the NSX-T Manager web interface, go to Security &gt;&gt; Gateway Firewall &gt;&gt; Gateway Specific Rules. Choose each Tier-1 Gateway in drop-down, then select Policy_Default_Infra Section &gt;&gt; Action. Change the Action to "Drop" or "Reject", and then click "Publish".</t>
    </r>
  </si>
  <si>
    <r>
      <rPr>
        <sz val="11"/>
        <color rgb="FF000000"/>
        <rFont val="Calibri"/>
      </rPr>
      <t>To prevent malicious or accidental leakage of traffic, organizations must implement a deny-by-default security posture at the network perimeter. Such rulesets prevent many malicious exploits or accidental leakage by restricting the traffic to only known sources and only those ports, protocols, or services that are permitted and operationally necessary. This configuration, which is in the Manager function of the NSX-T implementation, helps prevent the firewall instance from failing to a state that may cause unauthorized access to make changes to the firewall filtering functions.</t>
    </r>
    <r>
      <rPr>
        <sz val="11"/>
        <color rgb="FF000000"/>
        <rFont val="Calibri"/>
      </rPr>
      <t xml:space="preserve">
</t>
    </r>
    <r>
      <rPr>
        <sz val="11"/>
        <color rgb="FF000000"/>
        <rFont val="Calibri"/>
      </rPr>
      <t>As a managed boundary interface, the firewall must block all inbound and outbound network traffic unless a filter is installed to explicitly allow it. The configured filters must comply with the Ports, Protocols, and Services Management (PPSM) Category Assurance List (CAL) and Vulnerability Assessment (VA).</t>
    </r>
    <r>
      <rPr>
        <sz val="11"/>
        <color rgb="FF000000"/>
        <rFont val="Calibri"/>
      </rPr>
      <t xml:space="preserve">
</t>
    </r>
    <r>
      <rPr>
        <sz val="11"/>
        <color rgb="FF000000"/>
        <rFont val="Calibri"/>
      </rPr>
      <t>Satisfies: SRG-NET-000202-FW-000039, SRG-NET-000235-FW-000133, SRG-NET-000236-FW-000027, SRG-NET-000205-FW-000040</t>
    </r>
  </si>
  <si>
    <r>
      <rPr>
        <sz val="11"/>
        <color rgb="FF000000"/>
        <rFont val="Calibri"/>
      </rPr>
      <t>From the NSX-T Manager web interface, go to Security &gt;&gt; Gateway Firewall &gt;&gt; Gateway Specific Rules. Choose each Tier-1 Gateway in drop-down, then select Policy_Default_Infra Section &gt;&gt; Action.</t>
    </r>
    <r>
      <rPr>
        <sz val="11"/>
        <color rgb="FF000000"/>
        <rFont val="Calibri"/>
      </rPr>
      <t xml:space="preserve">
</t>
    </r>
    <r>
      <rPr>
        <sz val="11"/>
        <color rgb="FF000000"/>
        <rFont val="Calibri"/>
      </rPr>
      <t>If the default_rule is set to "Allow", this is a finding.</t>
    </r>
  </si>
  <si>
    <t>V-251741</t>
  </si>
  <si>
    <r>
      <rPr>
        <sz val="11"/>
        <rFont val="Calibri"/>
      </rPr>
      <t>The NSX-T Tier-0 Gateway Firewall must employ filters that prevent or limit the effects of all types of commonly known denial-of-service (DoS) attacks, including flooding, packet sweeps, and unauthorized port scanning.</t>
    </r>
  </si>
  <si>
    <r>
      <rPr>
        <sz val="11"/>
        <color rgb="FF000000"/>
        <rFont val="Calibri"/>
      </rPr>
      <t>To create a new Flood Protection profile, do the following:</t>
    </r>
    <r>
      <rPr>
        <sz val="11"/>
        <color rgb="FF000000"/>
        <rFont val="Calibri"/>
      </rPr>
      <t xml:space="preserve">
</t>
    </r>
    <r>
      <rPr>
        <sz val="11"/>
        <color rgb="FF000000"/>
        <rFont val="Calibri"/>
      </rPr>
      <t>From the NSX-T Manager web interface, go to Security &gt;&gt; Security Profiles &gt;&gt; Flood Protection &gt;&gt; Add Profile &gt;&gt; Add Firewall Profile.</t>
    </r>
    <r>
      <rPr>
        <sz val="11"/>
        <color rgb="FF000000"/>
        <rFont val="Calibri"/>
      </rPr>
      <t xml:space="preserve">
</t>
    </r>
    <r>
      <rPr>
        <sz val="11"/>
        <color rgb="FF000000"/>
        <rFont val="Calibri"/>
      </rPr>
      <t>Enter a name and specify appropriate values for the following: TCP Half Open Connection limit, UDP Active Flow Limit, ICMP Active Flow Limit, and Other Active Connection Limit.</t>
    </r>
    <r>
      <rPr>
        <sz val="11"/>
        <color rgb="FF000000"/>
        <rFont val="Calibri"/>
      </rPr>
      <t xml:space="preserve">
</t>
    </r>
    <r>
      <rPr>
        <sz val="11"/>
        <color rgb="FF000000"/>
        <rFont val="Calibri"/>
      </rPr>
      <t>Enable SYN Cache and RST Spoofing, then configure the Applied To field to contain Tier-0 Gateways and click "Save".</t>
    </r>
  </si>
  <si>
    <r>
      <rPr>
        <sz val="11"/>
        <color rgb="FF000000"/>
        <rFont val="Calibri"/>
      </rPr>
      <t>Not configuring a key boundary security protection device, such as the firewall, against commonly known attacks is an immediate threat to the protected enclave because they are easily implemented by those with little skill. Directions for the attack are obtainable on the internet and in hacker groups. Without filtering enabled for these attacks, the firewall will allow these attacks beyond the protected boundary.</t>
    </r>
    <r>
      <rPr>
        <sz val="11"/>
        <color rgb="FF000000"/>
        <rFont val="Calibri"/>
      </rPr>
      <t xml:space="preserve">
</t>
    </r>
    <r>
      <rPr>
        <sz val="11"/>
        <color rgb="FF000000"/>
        <rFont val="Calibri"/>
      </rPr>
      <t>Configure the perimeter and internal boundary firewall to guard against the three general methods of well-known DoS attacks: flooding attacks, protocol sweeping attacks, and unauthorized port scanning.</t>
    </r>
    <r>
      <rPr>
        <sz val="11"/>
        <color rgb="FF000000"/>
        <rFont val="Calibri"/>
      </rPr>
      <t xml:space="preserve">
</t>
    </r>
    <r>
      <rPr>
        <sz val="11"/>
        <color rgb="FF000000"/>
        <rFont val="Calibri"/>
      </rPr>
      <t>Flood attacks occur when the host receives too much traffic to buffer and it slows down or crashes. Popular flood attacks include ICMP flood and SYN flood. A TCP flood attack of SYN packets initiating connection requests can overwhelm the device until it can no longer process legitimate connection requests, resulting in denial of service. An ICMP flood can overload the device with so many echo requests (ping requests) that it expends all its resources responding and can no longer process valid network traffic, also resulting in denial of service. An attacker might use session table floods and SYN-ACK-ACK proxy floods to fill up the session table of a host.</t>
    </r>
    <r>
      <rPr>
        <sz val="11"/>
        <color rgb="FF000000"/>
        <rFont val="Calibri"/>
      </rPr>
      <t xml:space="preserve">
</t>
    </r>
    <r>
      <rPr>
        <sz val="11"/>
        <color rgb="FF000000"/>
        <rFont val="Calibri"/>
      </rPr>
      <t>In an IP address sweep attack, an attacker sends ICMP echo requests (pings) to multiple destination addresses. If a target host replies, the reply reveals the target's IP address to the attacker. In a TCP sweep attack, an attacker sends TCP SYN packets to the target device as part of the TCP handshake. If the device responds to those packets, the attacker gets an indication that a port in the target device is open, which makes the port vulnerable to attack. In a UDP sweep attack, an attacker sends UDP packets to the target device. If the device responds to those packets, the attacker gets an indication that a port in the target device is open, which makes the port vulnerable to attack.</t>
    </r>
    <r>
      <rPr>
        <sz val="11"/>
        <color rgb="FF000000"/>
        <rFont val="Calibri"/>
      </rPr>
      <t xml:space="preserve">
</t>
    </r>
    <r>
      <rPr>
        <sz val="11"/>
        <color rgb="FF000000"/>
        <rFont val="Calibri"/>
      </rPr>
      <t>In a port scanning attack, an unauthorized application is used to scan the host devices for available services and open ports for subsequent use in an attack. This type of scanning can be used as a DoS attack when the probing packets are sent excessively.</t>
    </r>
  </si>
  <si>
    <r>
      <rPr>
        <sz val="11"/>
        <color rgb="FF000000"/>
        <rFont val="Calibri"/>
      </rPr>
      <t>If the Tier-0 Gateway is deployed in an Active/Active HA mode and no stateless rules exist, this is Not Applicable.</t>
    </r>
    <r>
      <rPr>
        <sz val="11"/>
        <color rgb="FF000000"/>
        <rFont val="Calibri"/>
      </rPr>
      <t xml:space="preserve">
</t>
    </r>
    <r>
      <rPr>
        <sz val="11"/>
        <color rgb="FF000000"/>
        <rFont val="Calibri"/>
      </rPr>
      <t>From the NSX-T Manager web interface, go to Security &gt;&gt; Security Profiles &gt;&gt; Flood Protection to view Flood Protection profiles.</t>
    </r>
    <r>
      <rPr>
        <sz val="11"/>
        <color rgb="FF000000"/>
        <rFont val="Calibri"/>
      </rPr>
      <t xml:space="preserve">
</t>
    </r>
    <r>
      <rPr>
        <sz val="11"/>
        <color rgb="FF000000"/>
        <rFont val="Calibri"/>
      </rPr>
      <t>If there are no Flood Protection profiles of type "Gateway", this is a finding.</t>
    </r>
    <r>
      <rPr>
        <sz val="11"/>
        <color rgb="FF000000"/>
        <rFont val="Calibri"/>
      </rPr>
      <t xml:space="preserve">
</t>
    </r>
    <r>
      <rPr>
        <sz val="11"/>
        <color rgb="FF000000"/>
        <rFont val="Calibri"/>
      </rPr>
      <t>For each gateway flood protection profile, verify the TCP Half Open Connection limit, UDP Active Flow Limit, ICMP Active Flow Limit, and Other Active Connection Limit are set to "not set" or SYN Cache and RST Spoofing is not "Enabled" on a profile, this is a finding.</t>
    </r>
    <r>
      <rPr>
        <sz val="11"/>
        <color rgb="FF000000"/>
        <rFont val="Calibri"/>
      </rPr>
      <t xml:space="preserve">
</t>
    </r>
    <r>
      <rPr>
        <sz val="11"/>
        <color rgb="FF000000"/>
        <rFont val="Calibri"/>
      </rPr>
      <t>For each gateway flood protection profile, examine the Applied To field to view the Tier-0 Gateways to which it is applied.</t>
    </r>
    <r>
      <rPr>
        <sz val="11"/>
        <color rgb="FF000000"/>
        <rFont val="Calibri"/>
      </rPr>
      <t xml:space="preserve">
</t>
    </r>
    <r>
      <rPr>
        <sz val="11"/>
        <color rgb="FF000000"/>
        <rFont val="Calibri"/>
      </rPr>
      <t>If a gateway flood protection profile is not applied to all Tier-0 Gateways through one or more policies, this is a finding.</t>
    </r>
  </si>
  <si>
    <t>V-251742</t>
  </si>
  <si>
    <r>
      <rPr>
        <sz val="11"/>
        <rFont val="Calibri"/>
      </rPr>
      <t>The NSX-T Tier-0 Gateway Firewall must apply ingress filters to traffic that is inbound to the network through any active external interface.</t>
    </r>
  </si>
  <si>
    <r>
      <rPr>
        <sz val="11"/>
        <color rgb="FF000000"/>
        <rFont val="Calibri"/>
      </rPr>
      <t>From the NSX-T Manager web interface, go to Security &gt;&gt; Gateway Firewall &gt;&gt; Gateway Specific Rules and choose the target Tier-0 Gateway from the drop-down.</t>
    </r>
    <r>
      <rPr>
        <sz val="11"/>
        <color rgb="FF000000"/>
        <rFont val="Calibri"/>
      </rPr>
      <t xml:space="preserve">
</t>
    </r>
    <r>
      <rPr>
        <sz val="11"/>
        <color rgb="FF000000"/>
        <rFont val="Calibri"/>
      </rPr>
      <t>For any rules that have individual interfaces specified in the "Applied To" field, click "Edit" in the "Applied To" column and remove the interfaces selected, leaving only the Tier-0 Gateway object type checked.</t>
    </r>
    <r>
      <rPr>
        <sz val="11"/>
        <color rgb="FF000000"/>
        <rFont val="Calibri"/>
      </rPr>
      <t xml:space="preserve">
</t>
    </r>
    <r>
      <rPr>
        <sz val="11"/>
        <color rgb="FF000000"/>
        <rFont val="Calibri"/>
      </rPr>
      <t>Click "Publish" to save any rule changes.</t>
    </r>
  </si>
  <si>
    <r>
      <rPr>
        <sz val="11"/>
        <color rgb="FF000000"/>
        <rFont val="Calibri"/>
      </rPr>
      <t>Unrestricted traffic to the trusted networks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Firewall filters control the flow of network traffic, ensure the flow of traffic is only allowed from authorized sources to authorized destinations. Networks with different levels of trust (e.g., the internet) must be kept separated.</t>
    </r>
  </si>
  <si>
    <r>
      <rPr>
        <sz val="11"/>
        <color rgb="FF000000"/>
        <rFont val="Calibri"/>
      </rPr>
      <t>If the Tier-0 Gateway is deployed in an Active/Active HA mode and no stateless rules exist, this is Not Applicable.</t>
    </r>
    <r>
      <rPr>
        <sz val="11"/>
        <color rgb="FF000000"/>
        <rFont val="Calibri"/>
      </rPr>
      <t xml:space="preserve">
</t>
    </r>
    <r>
      <rPr>
        <sz val="11"/>
        <color rgb="FF000000"/>
        <rFont val="Calibri"/>
      </rPr>
      <t>From the NSX-T Manager web interface, go to Security &gt;&gt; Gateway Firewall &gt;&gt; Gateway Specific Rules. Choose each T0-Gateway in the drop-down and review the firewall rules "Applied To" field to verify no rules are selectively applied to interfaces instead of the Gateway Firewall entity.</t>
    </r>
    <r>
      <rPr>
        <sz val="11"/>
        <color rgb="FF000000"/>
        <rFont val="Calibri"/>
      </rPr>
      <t xml:space="preserve">
</t>
    </r>
    <r>
      <rPr>
        <sz val="11"/>
        <color rgb="FF000000"/>
        <rFont val="Calibri"/>
      </rPr>
      <t>If any Gateway Firewall rules are applied to individual interfaces, this is a finding.</t>
    </r>
  </si>
  <si>
    <t>V-251743</t>
  </si>
  <si>
    <r>
      <rPr>
        <sz val="11"/>
        <rFont val="Calibri"/>
      </rPr>
      <t>The NSX-T Tier-0 Gateway Firewall must configure SpoofGuard to block outbound IP packets that contain illegitimate packet attributes.</t>
    </r>
  </si>
  <si>
    <r>
      <rPr>
        <sz val="11"/>
        <color rgb="FF000000"/>
        <rFont val="Calibri"/>
      </rPr>
      <t>To create a segment profile with SpoofGuard enabled, do the following:</t>
    </r>
    <r>
      <rPr>
        <sz val="11"/>
        <color rgb="FF000000"/>
        <rFont val="Calibri"/>
      </rPr>
      <t xml:space="preserve">
</t>
    </r>
    <r>
      <rPr>
        <sz val="11"/>
        <color rgb="FF000000"/>
        <rFont val="Calibri"/>
      </rPr>
      <t>From the NSX-T Manager web interface, go to Networking &gt;&gt; Segments &gt;&gt; Segment Profiles &gt;&gt; Add Segment Profile &gt;&gt; SpoofGuard.</t>
    </r>
    <r>
      <rPr>
        <sz val="11"/>
        <color rgb="FF000000"/>
        <rFont val="Calibri"/>
      </rPr>
      <t xml:space="preserve">
</t>
    </r>
    <r>
      <rPr>
        <sz val="11"/>
        <color rgb="FF000000"/>
        <rFont val="Calibri"/>
      </rPr>
      <t>Enter a profile name, enable port bindings, and then click "Save".</t>
    </r>
    <r>
      <rPr>
        <sz val="11"/>
        <color rgb="FF000000"/>
        <rFont val="Calibri"/>
      </rPr>
      <t xml:space="preserve">
</t>
    </r>
    <r>
      <rPr>
        <sz val="11"/>
        <color rgb="FF000000"/>
        <rFont val="Calibri"/>
      </rPr>
      <t>To update a Segments SpoofGuard profile, do the following:</t>
    </r>
    <r>
      <rPr>
        <sz val="11"/>
        <color rgb="FF000000"/>
        <rFont val="Calibri"/>
      </rPr>
      <t xml:space="preserve">
</t>
    </r>
    <r>
      <rPr>
        <sz val="11"/>
        <color rgb="FF000000"/>
        <rFont val="Calibri"/>
      </rPr>
      <t>From the NSX-T Manager web interface, go to Networking &gt;&gt; Segments and click "Edit" from the drop-down menu next to the target Segment.</t>
    </r>
    <r>
      <rPr>
        <sz val="11"/>
        <color rgb="FF000000"/>
        <rFont val="Calibri"/>
      </rPr>
      <t xml:space="preserve">
</t>
    </r>
    <r>
      <rPr>
        <sz val="11"/>
        <color rgb="FF000000"/>
        <rFont val="Calibri"/>
      </rPr>
      <t>Expand Segment Profiles, choose the new SpoofGuard profile from the drop-down list, and then click "Save".</t>
    </r>
  </si>
  <si>
    <r>
      <rPr>
        <sz val="11"/>
        <color rgb="FF000000"/>
        <rFont val="Calibri"/>
      </rPr>
      <t>If outbound communications traffic is not filtered, hostile activity intended to harm other networks may not be detected and prevented.</t>
    </r>
  </si>
  <si>
    <r>
      <rPr>
        <sz val="11"/>
        <color rgb="FF000000"/>
        <rFont val="Calibri"/>
      </rPr>
      <t>From the NSX-T Manager web interface, go to Networking &gt;&gt; Segments and for each Segment, view Segment Profiles &gt;&gt; SpoofGuard.</t>
    </r>
    <r>
      <rPr>
        <sz val="11"/>
        <color rgb="FF000000"/>
        <rFont val="Calibri"/>
      </rPr>
      <t xml:space="preserve">
</t>
    </r>
    <r>
      <rPr>
        <sz val="11"/>
        <color rgb="FF000000"/>
        <rFont val="Calibri"/>
      </rPr>
      <t>If a Segment is not configured with a SpoofGuard profile that has Port Binding enabled, this is a finding.</t>
    </r>
  </si>
  <si>
    <t>V-251744</t>
  </si>
  <si>
    <r>
      <rPr>
        <sz val="11"/>
        <rFont val="Calibri"/>
      </rPr>
      <t>The NSX-T Tier-0 Gateway must be configured to reject inbound route advertisements for any prefixes belonging to the local autonomous system (AS).</t>
    </r>
  </si>
  <si>
    <t>Tier-0 Gateway RTR</t>
  </si>
  <si>
    <r>
      <rPr>
        <sz val="11"/>
        <color rgb="FF000000"/>
        <rFont val="Calibri"/>
      </rPr>
      <t>To configure a route filter do the following:</t>
    </r>
    <r>
      <rPr>
        <sz val="11"/>
        <color rgb="FF000000"/>
        <rFont val="Calibri"/>
      </rPr>
      <t xml:space="preserve">
</t>
    </r>
    <r>
      <rPr>
        <sz val="11"/>
        <color rgb="FF000000"/>
        <rFont val="Calibri"/>
      </rPr>
      <t>From the NSX-T Manager web interface, go to Networking &gt;&gt; Tier-0 Gateways &gt;&gt; edit the target Tier-0 gateway.</t>
    </r>
    <r>
      <rPr>
        <sz val="11"/>
        <color rgb="FF000000"/>
        <rFont val="Calibri"/>
      </rPr>
      <t xml:space="preserve">
</t>
    </r>
    <r>
      <rPr>
        <sz val="11"/>
        <color rgb="FF000000"/>
        <rFont val="Calibri"/>
      </rPr>
      <t>Expand Routing and open the IP Prefix List dialog. Edit an existing, or add a new prefix list that contains the prefixes belonging to the local AS to deny them. Click "Save".</t>
    </r>
    <r>
      <rPr>
        <sz val="11"/>
        <color rgb="FF000000"/>
        <rFont val="Calibri"/>
      </rPr>
      <t xml:space="preserve">
</t>
    </r>
    <r>
      <rPr>
        <sz val="11"/>
        <color rgb="FF000000"/>
        <rFont val="Calibri"/>
      </rPr>
      <t>To apply a route filter to a BGP neighbor do the following:</t>
    </r>
    <r>
      <rPr>
        <sz val="11"/>
        <color rgb="FF000000"/>
        <rFont val="Calibri"/>
      </rPr>
      <t xml:space="preserve">
</t>
    </r>
    <r>
      <rPr>
        <sz val="11"/>
        <color rgb="FF000000"/>
        <rFont val="Calibri"/>
      </rPr>
      <t>From the NSX-T Manager web interface, go to Networking &gt;&gt; Tier-0 Gateways and edit the target Tier-0 gateway.</t>
    </r>
    <r>
      <rPr>
        <sz val="11"/>
        <color rgb="FF000000"/>
        <rFont val="Calibri"/>
      </rPr>
      <t xml:space="preserve">
</t>
    </r>
    <r>
      <rPr>
        <sz val="11"/>
        <color rgb="FF000000"/>
        <rFont val="Calibri"/>
      </rPr>
      <t>Expand BGP, and next to BGP Neighbors, click on the number present to open the dialog. Select "Edit" on the target BGP Neighbor.</t>
    </r>
    <r>
      <rPr>
        <sz val="11"/>
        <color rgb="FF000000"/>
        <rFont val="Calibri"/>
      </rPr>
      <t xml:space="preserve">
</t>
    </r>
    <r>
      <rPr>
        <sz val="11"/>
        <color rgb="FF000000"/>
        <rFont val="Calibri"/>
      </rPr>
      <t>Open the router filter dialog and add or edit an existing router filter. Configure the In Filter with the filter previously created and click "Save", "Add", "Apply", and "Save".</t>
    </r>
  </si>
  <si>
    <r>
      <rPr>
        <sz val="11"/>
        <color rgb="FF000000"/>
        <rFont val="Calibri"/>
      </rPr>
      <t>Accepting route advertisements belonging to the local AS can result in traffic looping or being black holed, or at a minimum using a non-optimized path.</t>
    </r>
  </si>
  <si>
    <r>
      <rPr>
        <sz val="11"/>
        <color rgb="FF000000"/>
        <rFont val="Calibri"/>
      </rPr>
      <t>If the Tier-0 Gateway is not using eBGP, this is Not Applicable.</t>
    </r>
    <r>
      <rPr>
        <sz val="11"/>
        <color rgb="FF000000"/>
        <rFont val="Calibri"/>
      </rPr>
      <t xml:space="preserve">
</t>
    </r>
    <r>
      <rPr>
        <sz val="11"/>
        <color rgb="FF000000"/>
        <rFont val="Calibri"/>
      </rPr>
      <t>From the NSX-T Manager web interface, go to Networking &gt;&gt; Tier-0 Gateways.</t>
    </r>
    <r>
      <rPr>
        <sz val="11"/>
        <color rgb="FF000000"/>
        <rFont val="Calibri"/>
      </rPr>
      <t xml:space="preserve">
</t>
    </r>
    <r>
      <rPr>
        <sz val="11"/>
        <color rgb="FF000000"/>
        <rFont val="Calibri"/>
      </rPr>
      <t>For every Tier-0 Gateway, expand Tier-0 Gateway &gt;&gt;BGP. Near to BGP Neighbors, click on the number present to open the dialog.</t>
    </r>
    <r>
      <rPr>
        <sz val="11"/>
        <color rgb="FF000000"/>
        <rFont val="Calibri"/>
      </rPr>
      <t xml:space="preserve">
</t>
    </r>
    <r>
      <rPr>
        <sz val="11"/>
        <color rgb="FF000000"/>
        <rFont val="Calibri"/>
      </rPr>
      <t>For each neighbor examine any router filters to determine if any inbound route filters are applied.</t>
    </r>
    <r>
      <rPr>
        <sz val="11"/>
        <color rgb="FF000000"/>
        <rFont val="Calibri"/>
      </rPr>
      <t xml:space="preserve">
</t>
    </r>
    <r>
      <rPr>
        <sz val="11"/>
        <color rgb="FF000000"/>
        <rFont val="Calibri"/>
      </rPr>
      <t>If the In Filter is not configured with a prefix list that rejects prefixes belonging to the local AS, this is a finding.</t>
    </r>
  </si>
  <si>
    <t>V-251745</t>
  </si>
  <si>
    <r>
      <rPr>
        <sz val="11"/>
        <rFont val="Calibri"/>
      </rPr>
      <t>The NSX-T Tier-0 Gateway must be configured to disable Protocol Independent Multicast (PIM) on all interfaces that are not required to support multicast routing.</t>
    </r>
  </si>
  <si>
    <r>
      <rPr>
        <sz val="11"/>
        <color rgb="FF000000"/>
        <rFont val="Calibri"/>
      </rPr>
      <t>Disable multicast PIM routing on interfaces that are not required to support multicast by doing the following:</t>
    </r>
    <r>
      <rPr>
        <sz val="11"/>
        <color rgb="FF000000"/>
        <rFont val="Calibri"/>
      </rPr>
      <t xml:space="preserve">
</t>
    </r>
    <r>
      <rPr>
        <sz val="11"/>
        <color rgb="FF000000"/>
        <rFont val="Calibri"/>
      </rPr>
      <t>From the NSX-T Manager web interface, go to Networking &gt;&gt; Tier-0 Gateways and expand the target Tier-0 gateway.</t>
    </r>
    <r>
      <rPr>
        <sz val="11"/>
        <color rgb="FF000000"/>
        <rFont val="Calibri"/>
      </rPr>
      <t xml:space="preserve">
</t>
    </r>
    <r>
      <rPr>
        <sz val="11"/>
        <color rgb="FF000000"/>
        <rFont val="Calibri"/>
      </rPr>
      <t>Expand "Interfaces", click on the number of interfaces present to open the interfaces dialog, and then select "Edit" on the target interface.</t>
    </r>
    <r>
      <rPr>
        <sz val="11"/>
        <color rgb="FF000000"/>
        <rFont val="Calibri"/>
      </rPr>
      <t xml:space="preserve">
</t>
    </r>
    <r>
      <rPr>
        <sz val="11"/>
        <color rgb="FF000000"/>
        <rFont val="Calibri"/>
      </rPr>
      <t>Expand "Multicast", change PIM to "disabled", and then click "Save".</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</si>
  <si>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routers and passing through some routers to include only some of their interfaces." Therefore, it is imperative that the network engineers have documented their multicast topology and thereby know which interfaces are enabled for multicast. Once this is done, the zones can be scoped as required.</t>
    </r>
  </si>
  <si>
    <r>
      <rPr>
        <sz val="11"/>
        <color rgb="FF000000"/>
        <rFont val="Calibri"/>
      </rPr>
      <t>From the NSX-T Manager web interface, go to Networking &gt;&gt; Tier-0 Gateways.</t>
    </r>
    <r>
      <rPr>
        <sz val="11"/>
        <color rgb="FF000000"/>
        <rFont val="Calibri"/>
      </rPr>
      <t xml:space="preserve">
</t>
    </r>
    <r>
      <rPr>
        <sz val="11"/>
        <color rgb="FF000000"/>
        <rFont val="Calibri"/>
      </rPr>
      <t>For every Tier-0 Gateway, expand the Tier-0 Gateway &gt;&gt; Interfaces, and click on the number of interfaces present to open the interfaces dialog.</t>
    </r>
    <r>
      <rPr>
        <sz val="11"/>
        <color rgb="FF000000"/>
        <rFont val="Calibri"/>
      </rPr>
      <t xml:space="preserve">
</t>
    </r>
    <r>
      <rPr>
        <sz val="11"/>
        <color rgb="FF000000"/>
        <rFont val="Calibri"/>
      </rPr>
      <t>Expand each interface that is not required to support multicast routing, then expand "Multicast" and verify PIM is disabled.</t>
    </r>
    <r>
      <rPr>
        <sz val="11"/>
        <color rgb="FF000000"/>
        <rFont val="Calibri"/>
      </rPr>
      <t xml:space="preserve">
</t>
    </r>
    <r>
      <rPr>
        <sz val="11"/>
        <color rgb="FF000000"/>
        <rFont val="Calibri"/>
      </rPr>
      <t>If PIM is enabled on any interfaces that are not supporting multicast routing, this is a finding.</t>
    </r>
  </si>
  <si>
    <t>V-251746</t>
  </si>
  <si>
    <r>
      <rPr>
        <sz val="11"/>
        <rFont val="Calibri"/>
      </rPr>
      <t>The NSX-T Tier-0 Gateway must be configured to have all inactive interfaces removed.</t>
    </r>
  </si>
  <si>
    <r>
      <rPr>
        <sz val="11"/>
        <color rgb="FF000000"/>
        <rFont val="Calibri"/>
      </rPr>
      <t>Disable multicast PIM routing on interfaces that are not required to support multicast by doing the following:</t>
    </r>
    <r>
      <rPr>
        <sz val="11"/>
        <color rgb="FF000000"/>
        <rFont val="Calibri"/>
      </rPr>
      <t xml:space="preserve">
</t>
    </r>
    <r>
      <rPr>
        <sz val="11"/>
        <color rgb="FF000000"/>
        <rFont val="Calibri"/>
      </rPr>
      <t>From the NSX-T Manager web interface, go to Networking &gt;&gt; Tier-0 Gateways and expand the target Tier-0 gateway.</t>
    </r>
    <r>
      <rPr>
        <sz val="11"/>
        <color rgb="FF000000"/>
        <rFont val="Calibri"/>
      </rPr>
      <t xml:space="preserve">
</t>
    </r>
    <r>
      <rPr>
        <sz val="11"/>
        <color rgb="FF000000"/>
        <rFont val="Calibri"/>
      </rPr>
      <t>Expand "Interfaces", then click on the number of interfaces present to open the interfaces dialog. Select "Delete" on the unneeded interface, and then click "Delete" again to confirm.</t>
    </r>
  </si>
  <si>
    <r>
      <rPr>
        <sz val="11"/>
        <color rgb="FF000000"/>
        <rFont val="Calibri"/>
      </rPr>
      <t>An inactive interface is rarely monitored or controlled and may expose a network to an undetected attack on that interface.</t>
    </r>
    <r>
      <rPr>
        <sz val="11"/>
        <color rgb="FF000000"/>
        <rFont val="Calibri"/>
      </rPr>
      <t xml:space="preserve">
</t>
    </r>
    <r>
      <rPr>
        <sz val="11"/>
        <color rgb="FF000000"/>
        <rFont val="Calibri"/>
      </rPr>
      <t>If an interface is no longer used, the configuration must be deleted.</t>
    </r>
  </si>
  <si>
    <r>
      <rPr>
        <sz val="11"/>
        <color rgb="FF000000"/>
        <rFont val="Calibri"/>
      </rPr>
      <t>From the NSX-T Manager web interface, go to Networking &gt;&gt; Tier-0 Gateways.</t>
    </r>
    <r>
      <rPr>
        <sz val="11"/>
        <color rgb="FF000000"/>
        <rFont val="Calibri"/>
      </rPr>
      <t xml:space="preserve">
</t>
    </r>
    <r>
      <rPr>
        <sz val="11"/>
        <color rgb="FF000000"/>
        <rFont val="Calibri"/>
      </rPr>
      <t>For every Tier-0 Gateway, expand the Tier-0 Gateway &gt;&gt; Interfaces, and click on the number of interfaces present to open the interfaces dialog.</t>
    </r>
    <r>
      <rPr>
        <sz val="11"/>
        <color rgb="FF000000"/>
        <rFont val="Calibri"/>
      </rPr>
      <t xml:space="preserve">
</t>
    </r>
    <r>
      <rPr>
        <sz val="11"/>
        <color rgb="FF000000"/>
        <rFont val="Calibri"/>
      </rPr>
      <t>Review each interface present to determine if they are not in use or inactive.</t>
    </r>
    <r>
      <rPr>
        <sz val="11"/>
        <color rgb="FF000000"/>
        <rFont val="Calibri"/>
      </rPr>
      <t xml:space="preserve">
</t>
    </r>
    <r>
      <rPr>
        <sz val="11"/>
        <color rgb="FF000000"/>
        <rFont val="Calibri"/>
      </rPr>
      <t>If there are any interfaces present on a Tier-0 Gateway that are not in use or inactive, this is a finding.</t>
    </r>
  </si>
  <si>
    <t>V-251747</t>
  </si>
  <si>
    <r>
      <rPr>
        <sz val="11"/>
        <rFont val="Calibri"/>
      </rPr>
      <t>The NSX-T Tier-0 Gateway must be configured to have the DHCP service disabled if not in use.</t>
    </r>
  </si>
  <si>
    <r>
      <rPr>
        <sz val="11"/>
        <color rgb="FF000000"/>
        <rFont val="Calibri"/>
      </rPr>
      <t>From the NSX-T Manager web interface, go to Networking &gt;&gt; Tier-0 Gateways and edit the target Tier-0 Gateway.</t>
    </r>
    <r>
      <rPr>
        <sz val="11"/>
        <color rgb="FF000000"/>
        <rFont val="Calibri"/>
      </rPr>
      <t xml:space="preserve">
</t>
    </r>
    <r>
      <rPr>
        <sz val="11"/>
        <color rgb="FF000000"/>
        <rFont val="Calibri"/>
      </rPr>
      <t>Click "Set DHCP Configuration", select "No Dynamic IP Address Allocation", and then click "Save". Close "Editing".</t>
    </r>
  </si>
  <si>
    <r>
      <rPr>
        <sz val="11"/>
        <color rgb="FF000000"/>
        <rFont val="Calibri"/>
      </rPr>
      <t>A compromised router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t>
    </r>
    <r>
      <rPr>
        <sz val="11"/>
        <color rgb="FF000000"/>
        <rFont val="Calibri"/>
      </rPr>
      <t xml:space="preserve">
</t>
    </r>
    <r>
      <rPr>
        <sz val="11"/>
        <color rgb="FF000000"/>
        <rFont val="Calibri"/>
      </rPr>
      <t>This is accomplished by following and implementing all security guidance applicable for each node type. A fundamental step in securing each router is to enable only the capabilities required for operation.</t>
    </r>
  </si>
  <si>
    <r>
      <rPr>
        <sz val="11"/>
        <color rgb="FF000000"/>
        <rFont val="Calibri"/>
      </rPr>
      <t>From the NSX-T Manager web interface, go to Networking &gt;&gt; Tier-0 Gateways.</t>
    </r>
    <r>
      <rPr>
        <sz val="11"/>
        <color rgb="FF000000"/>
        <rFont val="Calibri"/>
      </rPr>
      <t xml:space="preserve">
</t>
    </r>
    <r>
      <rPr>
        <sz val="11"/>
        <color rgb="FF000000"/>
        <rFont val="Calibri"/>
      </rPr>
      <t>For every Tier-0 Gateway expand the Tier-0 Gateway to view the DHCP configuration.</t>
    </r>
    <r>
      <rPr>
        <sz val="11"/>
        <color rgb="FF000000"/>
        <rFont val="Calibri"/>
      </rPr>
      <t xml:space="preserve">
</t>
    </r>
    <r>
      <rPr>
        <sz val="11"/>
        <color rgb="FF000000"/>
        <rFont val="Calibri"/>
      </rPr>
      <t>If a DHCP profile is configured and not in use, this is a finding.</t>
    </r>
  </si>
  <si>
    <t>V-251748</t>
  </si>
  <si>
    <r>
      <rPr>
        <sz val="11"/>
        <rFont val="Calibri"/>
      </rPr>
      <t>The NSX-T Tier-0 Gateway must be configured to enforce a Quality-of-Service (QoS) policy to limit the effects of packet flooding denial-of-service (DoS) attacks.</t>
    </r>
  </si>
  <si>
    <r>
      <rPr>
        <sz val="11"/>
        <color rgb="FF000000"/>
        <rFont val="Calibri"/>
      </rPr>
      <t>To create a segment QoS profile do the following:</t>
    </r>
    <r>
      <rPr>
        <sz val="11"/>
        <color rgb="FF000000"/>
        <rFont val="Calibri"/>
      </rPr>
      <t xml:space="preserve">
</t>
    </r>
    <r>
      <rPr>
        <sz val="11"/>
        <color rgb="FF000000"/>
        <rFont val="Calibri"/>
      </rPr>
      <t>From the NSX-T Manager web interface, go to Networking &gt;&gt; Segments &gt;&gt; Segment Profiles.</t>
    </r>
    <r>
      <rPr>
        <sz val="11"/>
        <color rgb="FF000000"/>
        <rFont val="Calibri"/>
      </rPr>
      <t xml:space="preserve">
</t>
    </r>
    <r>
      <rPr>
        <sz val="11"/>
        <color rgb="FF000000"/>
        <rFont val="Calibri"/>
      </rPr>
      <t>Click "Add Segment Profile" and select "QoS".</t>
    </r>
    <r>
      <rPr>
        <sz val="11"/>
        <color rgb="FF000000"/>
        <rFont val="Calibri"/>
      </rPr>
      <t xml:space="preserve">
</t>
    </r>
    <r>
      <rPr>
        <sz val="11"/>
        <color rgb="FF000000"/>
        <rFont val="Calibri"/>
      </rPr>
      <t>Configure a profile name and QoS settings as needed, and then click "Save".</t>
    </r>
    <r>
      <rPr>
        <sz val="11"/>
        <color rgb="FF000000"/>
        <rFont val="Calibri"/>
      </rPr>
      <t xml:space="preserve">
</t>
    </r>
    <r>
      <rPr>
        <sz val="11"/>
        <color rgb="FF000000"/>
        <rFont val="Calibri"/>
      </rPr>
      <t>To apply a QoS profile to a segment do the following:</t>
    </r>
    <r>
      <rPr>
        <sz val="11"/>
        <color rgb="FF000000"/>
        <rFont val="Calibri"/>
      </rPr>
      <t xml:space="preserve">
</t>
    </r>
    <r>
      <rPr>
        <sz val="11"/>
        <color rgb="FF000000"/>
        <rFont val="Calibri"/>
      </rPr>
      <t>From the NSX-T Manager web interface, go to Networking &gt;&gt; Segments &gt;&gt; Edit the target segment.</t>
    </r>
    <r>
      <rPr>
        <sz val="11"/>
        <color rgb="FF000000"/>
        <rFont val="Calibri"/>
      </rPr>
      <t xml:space="preserve">
</t>
    </r>
    <r>
      <rPr>
        <sz val="11"/>
        <color rgb="FF000000"/>
        <rFont val="Calibri"/>
      </rPr>
      <t>Expand Segment Profiles and under QoS select the profile previously created and click "Save".</t>
    </r>
  </si>
  <si>
    <r>
      <rPr>
        <sz val="11"/>
        <color rgb="FF000000"/>
        <rFont val="Calibri"/>
      </rPr>
      <t xml:space="preserve">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</si>
  <si>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From the NSX-T Manager web interface, go to Networking &gt;&gt; Segments.</t>
    </r>
    <r>
      <rPr>
        <sz val="11"/>
        <color rgb="FF000000"/>
        <rFont val="Calibri"/>
      </rPr>
      <t xml:space="preserve">
</t>
    </r>
    <r>
      <rPr>
        <sz val="11"/>
        <color rgb="FF000000"/>
        <rFont val="Calibri"/>
      </rPr>
      <t>For every Segment connected to a Tier-0 Gateway, Expand Segment &gt;&gt; Expand Segment Profiles &gt;&gt; Record QOS Segment Profile.</t>
    </r>
    <r>
      <rPr>
        <sz val="11"/>
        <color rgb="FF000000"/>
        <rFont val="Calibri"/>
      </rPr>
      <t xml:space="preserve">
</t>
    </r>
    <r>
      <rPr>
        <sz val="11"/>
        <color rgb="FF000000"/>
        <rFont val="Calibri"/>
      </rPr>
      <t>Go to Segment Profiles &gt;&gt; Expand QOS Segment Profile recorded in previous steps.</t>
    </r>
    <r>
      <rPr>
        <sz val="11"/>
        <color rgb="FF000000"/>
        <rFont val="Calibri"/>
      </rPr>
      <t xml:space="preserve">
</t>
    </r>
    <r>
      <rPr>
        <sz val="11"/>
        <color rgb="FF000000"/>
        <rFont val="Calibri"/>
      </rPr>
      <t>If there are traffic priorities specified by the Combatant Commands/Services/Agencies needed to ensure sufficient capacity for mission-critical traffic and none are configured, this is a finding.</t>
    </r>
  </si>
  <si>
    <t>V-251749</t>
  </si>
  <si>
    <r>
      <rPr>
        <sz val="11"/>
        <rFont val="Calibri"/>
      </rPr>
      <t>The NSX-T Tier-0 Gateway must be configured to restrict traffic destined to itself.</t>
    </r>
  </si>
  <si>
    <t>CAT I (High)</t>
  </si>
  <si>
    <r>
      <rPr>
        <sz val="11"/>
        <color rgb="FF000000"/>
        <rFont val="Calibri"/>
      </rPr>
      <t>To configure firewall rule(s) to restrict traffic destined to interfaces on a Tier-0 Gateway do the following:</t>
    </r>
    <r>
      <rPr>
        <sz val="11"/>
        <color rgb="FF000000"/>
        <rFont val="Calibri"/>
      </rPr>
      <t xml:space="preserve">
</t>
    </r>
    <r>
      <rPr>
        <sz val="11"/>
        <color rgb="FF000000"/>
        <rFont val="Calibri"/>
      </rPr>
      <t>From the NSX-T Manager web interface, go to Security &gt;&gt; Gateway Firewall &gt;&gt; Gateway Specific Rules and select the target Tier-0 Gateway from the drop-down.</t>
    </r>
    <r>
      <rPr>
        <sz val="11"/>
        <color rgb="FF000000"/>
        <rFont val="Calibri"/>
      </rPr>
      <t xml:space="preserve">
</t>
    </r>
    <r>
      <rPr>
        <sz val="11"/>
        <color rgb="FF000000"/>
        <rFont val="Calibri"/>
      </rPr>
      <t>Click "Add Rule" (Add a policy first if needed) and configure the destinations to include all IPs for external interfaces.</t>
    </r>
    <r>
      <rPr>
        <sz val="11"/>
        <color rgb="FF000000"/>
        <rFont val="Calibri"/>
      </rPr>
      <t xml:space="preserve">
</t>
    </r>
    <r>
      <rPr>
        <sz val="11"/>
        <color rgb="FF000000"/>
        <rFont val="Calibri"/>
      </rPr>
      <t>Update the action to "Drop" or "Reject".</t>
    </r>
    <r>
      <rPr>
        <sz val="11"/>
        <color rgb="FF000000"/>
        <rFont val="Calibri"/>
      </rPr>
      <t xml:space="preserve">
</t>
    </r>
    <r>
      <rPr>
        <sz val="11"/>
        <color rgb="FF000000"/>
        <rFont val="Calibri"/>
      </rPr>
      <t>Enable logging, then under the "Applied To" field, select the target Tier-0 Gateways and click "Publish" to enforce the new rule.</t>
    </r>
    <r>
      <rPr>
        <sz val="11"/>
        <color rgb="FF000000"/>
        <rFont val="Calibri"/>
      </rPr>
      <t xml:space="preserve">
</t>
    </r>
    <r>
      <rPr>
        <sz val="11"/>
        <color rgb="FF000000"/>
        <rFont val="Calibri"/>
      </rPr>
      <t>Other rules may be constructed to allow traffic to external interface IPs if required above this default deny rule.</t>
    </r>
  </si>
  <si>
    <r>
      <rPr>
        <sz val="11"/>
        <color rgb="FF000000"/>
        <rFont val="Calibri"/>
      </rPr>
      <t>The route processor handles traffic destined to the router, the key component used to build forwarding paths, and is also instrumental with all network management functions. Hence, any disruption or DoS attack to the route processor can result in mission critical network outages.</t>
    </r>
  </si>
  <si>
    <r>
      <rPr>
        <sz val="11"/>
        <color rgb="FF000000"/>
        <rFont val="Calibri"/>
      </rPr>
      <t>If the Tier-0 Gateway is deployed in an Active/Active HA mode, this is Not Applicable.</t>
    </r>
    <r>
      <rPr>
        <sz val="11"/>
        <color rgb="FF000000"/>
        <rFont val="Calibri"/>
      </rPr>
      <t xml:space="preserve">
</t>
    </r>
    <r>
      <rPr>
        <sz val="11"/>
        <color rgb="FF000000"/>
        <rFont val="Calibri"/>
      </rPr>
      <t>From the NSX-T Manager web interface, go to Security &gt;&gt; Gateway Firewall &gt;&gt; Gateway Specific Rules and choose each Tier-0 Gateway in the drop-down.</t>
    </r>
    <r>
      <rPr>
        <sz val="11"/>
        <color rgb="FF000000"/>
        <rFont val="Calibri"/>
      </rPr>
      <t xml:space="preserve">
</t>
    </r>
    <r>
      <rPr>
        <sz val="11"/>
        <color rgb="FF000000"/>
        <rFont val="Calibri"/>
      </rPr>
      <t>Review each Tier-0 Gateway Firewalls rules to verify rules exist to restrict traffic to itself.</t>
    </r>
    <r>
      <rPr>
        <sz val="11"/>
        <color rgb="FF000000"/>
        <rFont val="Calibri"/>
      </rPr>
      <t xml:space="preserve">
</t>
    </r>
    <r>
      <rPr>
        <sz val="11"/>
        <color rgb="FF000000"/>
        <rFont val="Calibri"/>
      </rPr>
      <t>If a rule or rules do not exist to restrict traffic to external interface IPs, this is a finding.</t>
    </r>
  </si>
  <si>
    <t>V-251750</t>
  </si>
  <si>
    <r>
      <rPr>
        <sz val="11"/>
        <rFont val="Calibri"/>
      </rPr>
      <t>Unicast Reverse Path Forwarding (uRPF) must be enabled on the NSX-T Tier-0 Gateway.</t>
    </r>
  </si>
  <si>
    <r>
      <rPr>
        <sz val="11"/>
        <color rgb="FF000000"/>
        <rFont val="Calibri"/>
      </rPr>
      <t>Enable strict URPF mode on interfaces by doing the following:</t>
    </r>
    <r>
      <rPr>
        <sz val="11"/>
        <color rgb="FF000000"/>
        <rFont val="Calibri"/>
      </rPr>
      <t xml:space="preserve">
</t>
    </r>
    <r>
      <rPr>
        <sz val="11"/>
        <color rgb="FF000000"/>
        <rFont val="Calibri"/>
      </rPr>
      <t>From the NSX-T Manager web interface, go to Networking &gt;&gt; Tier-0 Gateways and expand the target Tier-0 gateway.</t>
    </r>
    <r>
      <rPr>
        <sz val="11"/>
        <color rgb="FF000000"/>
        <rFont val="Calibri"/>
      </rPr>
      <t xml:space="preserve">
</t>
    </r>
    <r>
      <rPr>
        <sz val="11"/>
        <color rgb="FF000000"/>
        <rFont val="Calibri"/>
      </rPr>
      <t>Expand Interfaces, then click on the number of interfaces present to open the interfaces dialog. Select "Edit" on the target interface.</t>
    </r>
    <r>
      <rPr>
        <sz val="11"/>
        <color rgb="FF000000"/>
        <rFont val="Calibri"/>
      </rPr>
      <t xml:space="preserve">
</t>
    </r>
    <r>
      <rPr>
        <sz val="11"/>
        <color rgb="FF000000"/>
        <rFont val="Calibri"/>
      </rPr>
      <t>From the drop-down, set the URPF mode to "Strict" and then click "Save".</t>
    </r>
  </si>
  <si>
    <r>
      <rPr>
        <sz val="11"/>
        <color rgb="FF000000"/>
        <rFont val="Calibri"/>
      </rPr>
      <t>A compromised host in an enclave can be used by a malicious platform to launch cyber attacks on third parties. This is a common practice in "botnets", which are a collection of compromised computers using malware to attack other computers or networks. Distributed denial-of-service (DDoS) attacks frequently leverage IP source address spoofing to send packets to multiple hosts that in turn will then send return traffic to the hosts with the IP addresses that were forged.</t>
    </r>
    <r>
      <rPr>
        <sz val="11"/>
        <color rgb="FF000000"/>
        <rFont val="Calibri"/>
      </rPr>
      <t xml:space="preserve">
</t>
    </r>
    <r>
      <rPr>
        <sz val="11"/>
        <color rgb="FF000000"/>
        <rFont val="Calibri"/>
      </rPr>
      <t>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</si>
  <si>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From the NSX-T Manager web interface, go to Networking &gt;&gt; Tier-0 Gateways.</t>
    </r>
    <r>
      <rPr>
        <sz val="11"/>
        <color rgb="FF000000"/>
        <rFont val="Calibri"/>
      </rPr>
      <t xml:space="preserve">
</t>
    </r>
    <r>
      <rPr>
        <sz val="11"/>
        <color rgb="FF000000"/>
        <rFont val="Calibri"/>
      </rPr>
      <t>For every Tier-0 Gateway, expand Tier-0 Gateway &gt;&gt; Interfaces, and then click on the number of interfaces present to open the interfaces dialog.</t>
    </r>
    <r>
      <rPr>
        <sz val="11"/>
        <color rgb="FF000000"/>
        <rFont val="Calibri"/>
      </rPr>
      <t xml:space="preserve">
</t>
    </r>
    <r>
      <rPr>
        <sz val="11"/>
        <color rgb="FF000000"/>
        <rFont val="Calibri"/>
      </rPr>
      <t>Expand each interface to view the URPF Mode configuration.</t>
    </r>
    <r>
      <rPr>
        <sz val="11"/>
        <color rgb="FF000000"/>
        <rFont val="Calibri"/>
      </rPr>
      <t xml:space="preserve">
</t>
    </r>
    <r>
      <rPr>
        <sz val="11"/>
        <color rgb="FF000000"/>
        <rFont val="Calibri"/>
      </rPr>
      <t>If URPF Mode is not set to "Strict" on any interface, this is a finding.</t>
    </r>
  </si>
  <si>
    <t>V-251751</t>
  </si>
  <si>
    <r>
      <rPr>
        <sz val="11"/>
        <rFont val="Calibri"/>
      </rPr>
      <t>The NSX-T Tier-0 Gateway must be configured to implement message authentication for all control plane protocols.</t>
    </r>
  </si>
  <si>
    <r>
      <rPr>
        <sz val="11"/>
        <color rgb="FF000000"/>
        <rFont val="Calibri"/>
      </rPr>
      <t>To set authentication for BGP neighbors do the following:</t>
    </r>
    <r>
      <rPr>
        <sz val="11"/>
        <color rgb="FF000000"/>
        <rFont val="Calibri"/>
      </rPr>
      <t xml:space="preserve">
</t>
    </r>
    <r>
      <rPr>
        <sz val="11"/>
        <color rgb="FF000000"/>
        <rFont val="Calibri"/>
      </rPr>
      <t>From the NSX-T Manager web interface, go to Networking &gt;&gt; Tier-0 Gateways, and expand the target Tier-0 gateway.</t>
    </r>
    <r>
      <rPr>
        <sz val="11"/>
        <color rgb="FF000000"/>
        <rFont val="Calibri"/>
      </rPr>
      <t xml:space="preserve">
</t>
    </r>
    <r>
      <rPr>
        <sz val="11"/>
        <color rgb="FF000000"/>
        <rFont val="Calibri"/>
      </rPr>
      <t>Expand BGP. Next to BGP Neighbors, click on the number present to open the dialog, then select "Edit" on the target BGP Neighbor.</t>
    </r>
    <r>
      <rPr>
        <sz val="11"/>
        <color rgb="FF000000"/>
        <rFont val="Calibri"/>
      </rPr>
      <t xml:space="preserve">
</t>
    </r>
    <r>
      <rPr>
        <sz val="11"/>
        <color rgb="FF000000"/>
        <rFont val="Calibri"/>
      </rPr>
      <t>Under Timers &amp; Password, enter a password up to 20 characters, and then click "Save".</t>
    </r>
    <r>
      <rPr>
        <sz val="11"/>
        <color rgb="FF000000"/>
        <rFont val="Calibri"/>
      </rPr>
      <t xml:space="preserve">
</t>
    </r>
    <r>
      <rPr>
        <sz val="11"/>
        <color rgb="FF000000"/>
        <rFont val="Calibri"/>
      </rPr>
      <t>To set authentication for OSPF Area definitions do the following:</t>
    </r>
    <r>
      <rPr>
        <sz val="11"/>
        <color rgb="FF000000"/>
        <rFont val="Calibri"/>
      </rPr>
      <t xml:space="preserve">
</t>
    </r>
    <r>
      <rPr>
        <sz val="11"/>
        <color rgb="FF000000"/>
        <rFont val="Calibri"/>
      </rPr>
      <t>From the NSX-T Manager web interface, go to Networking &gt;&gt; Tier-0 Gateways, and expand the target Tier-0 gateway.</t>
    </r>
    <r>
      <rPr>
        <sz val="11"/>
        <color rgb="FF000000"/>
        <rFont val="Calibri"/>
      </rPr>
      <t xml:space="preserve">
</t>
    </r>
    <r>
      <rPr>
        <sz val="11"/>
        <color rgb="FF000000"/>
        <rFont val="Calibri"/>
      </rPr>
      <t>Expand OSPF. Next to Area Definition, click on the number present to open the dialog, and then select "Edit" on the target OSPF Area.</t>
    </r>
    <r>
      <rPr>
        <sz val="11"/>
        <color rgb="FF000000"/>
        <rFont val="Calibri"/>
      </rPr>
      <t xml:space="preserve">
</t>
    </r>
    <r>
      <rPr>
        <sz val="11"/>
        <color rgb="FF000000"/>
        <rFont val="Calibri"/>
      </rPr>
      <t>Change the Authentication drop-down to Password or MD5, enter a Key ID and/or Password, and then click "Save".</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</si>
  <si>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t>
    </r>
  </si>
  <si>
    <r>
      <rPr>
        <sz val="11"/>
        <color rgb="FF000000"/>
        <rFont val="Calibri"/>
      </rPr>
      <t>If the Tier-0 Gateway is not using BGP or OSPF, this is Not Applicable.</t>
    </r>
    <r>
      <rPr>
        <sz val="11"/>
        <color rgb="FF000000"/>
        <rFont val="Calibri"/>
      </rPr>
      <t xml:space="preserve">
</t>
    </r>
    <r>
      <rPr>
        <sz val="11"/>
        <color rgb="FF000000"/>
        <rFont val="Calibri"/>
      </rPr>
      <t>Since the NSX-T Tier-0 Gateway does not reveal if a BGP password is configured, interview the router administrator to determine if a password is configured on BGP neighbors.</t>
    </r>
    <r>
      <rPr>
        <sz val="11"/>
        <color rgb="FF000000"/>
        <rFont val="Calibri"/>
      </rPr>
      <t xml:space="preserve">
</t>
    </r>
    <r>
      <rPr>
        <sz val="11"/>
        <color rgb="FF000000"/>
        <rFont val="Calibri"/>
      </rPr>
      <t>If BGP neighbors do not have a password configured, this is a finding.</t>
    </r>
    <r>
      <rPr>
        <sz val="11"/>
        <color rgb="FF000000"/>
        <rFont val="Calibri"/>
      </rPr>
      <t xml:space="preserve">
</t>
    </r>
    <r>
      <rPr>
        <sz val="11"/>
        <color rgb="FF000000"/>
        <rFont val="Calibri"/>
      </rPr>
      <t>To verify OSPF areas are using authentication do the following:</t>
    </r>
    <r>
      <rPr>
        <sz val="11"/>
        <color rgb="FF000000"/>
        <rFont val="Calibri"/>
      </rPr>
      <t xml:space="preserve">
</t>
    </r>
    <r>
      <rPr>
        <sz val="11"/>
        <color rgb="FF000000"/>
        <rFont val="Calibri"/>
      </rPr>
      <t>From the NSX-T Manager web interface, go to Networking &gt;&gt; Tier-0 Gateways.</t>
    </r>
    <r>
      <rPr>
        <sz val="11"/>
        <color rgb="FF000000"/>
        <rFont val="Calibri"/>
      </rPr>
      <t xml:space="preserve">
</t>
    </r>
    <r>
      <rPr>
        <sz val="11"/>
        <color rgb="FF000000"/>
        <rFont val="Calibri"/>
      </rPr>
      <t>For every Tier-0 Gateway expand the "Tier-0 Gateway".</t>
    </r>
    <r>
      <rPr>
        <sz val="11"/>
        <color rgb="FF000000"/>
        <rFont val="Calibri"/>
      </rPr>
      <t xml:space="preserve">
</t>
    </r>
    <r>
      <rPr>
        <sz val="11"/>
        <color rgb="FF000000"/>
        <rFont val="Calibri"/>
      </rPr>
      <t>Expand "OSPF", click the number next to Area Definition, and view the Authentication field for each area.</t>
    </r>
    <r>
      <rPr>
        <sz val="11"/>
        <color rgb="FF000000"/>
        <rFont val="Calibri"/>
      </rPr>
      <t xml:space="preserve">
</t>
    </r>
    <r>
      <rPr>
        <sz val="11"/>
        <color rgb="FF000000"/>
        <rFont val="Calibri"/>
      </rPr>
      <t>If OSPF area definitions do not have Password or MD5 set for authentication, this is a finding.</t>
    </r>
    <r>
      <rPr>
        <sz val="11"/>
        <color rgb="FF000000"/>
        <rFont val="Calibri"/>
      </rPr>
      <t xml:space="preserve">
</t>
    </r>
    <r>
      <rPr>
        <sz val="11"/>
        <color rgb="FF000000"/>
        <rFont val="Calibri"/>
      </rPr>
      <t>Note: OSPF support was introduced in version 3.1.1.</t>
    </r>
  </si>
  <si>
    <t>V-251752</t>
  </si>
  <si>
    <r>
      <rPr>
        <sz val="11"/>
        <rFont val="Calibri"/>
      </rPr>
      <t>The NSX-T Tier-0 Gateway must be configured to use a unique key for each autonomous system (AS) with which it peers.</t>
    </r>
  </si>
  <si>
    <r>
      <rPr>
        <sz val="11"/>
        <color rgb="FF000000"/>
        <rFont val="Calibri"/>
      </rPr>
      <t>To set authentication for BGP neighbors do the following:</t>
    </r>
    <r>
      <rPr>
        <sz val="11"/>
        <color rgb="FF000000"/>
        <rFont val="Calibri"/>
      </rPr>
      <t xml:space="preserve">
</t>
    </r>
    <r>
      <rPr>
        <sz val="11"/>
        <color rgb="FF000000"/>
        <rFont val="Calibri"/>
      </rPr>
      <t>From the NSX-T Manager web interface, go to Networking &gt;&gt; Tier-0 Gateways, and expand the target Tier-0 gateway.</t>
    </r>
    <r>
      <rPr>
        <sz val="11"/>
        <color rgb="FF000000"/>
        <rFont val="Calibri"/>
      </rPr>
      <t xml:space="preserve">
</t>
    </r>
    <r>
      <rPr>
        <sz val="11"/>
        <color rgb="FF000000"/>
        <rFont val="Calibri"/>
      </rPr>
      <t>Expand BGP. Next to BGP Neighbors, click on the number present to open the dialog, and then select "Edit" on the target BGP Neighbor.</t>
    </r>
    <r>
      <rPr>
        <sz val="11"/>
        <color rgb="FF000000"/>
        <rFont val="Calibri"/>
      </rPr>
      <t xml:space="preserve">
</t>
    </r>
    <r>
      <rPr>
        <sz val="11"/>
        <color rgb="FF000000"/>
        <rFont val="Calibri"/>
      </rPr>
      <t>Under Timers &amp; Password, enter a password up to 20 characters that is different from other autonomous systems, and then click "Save".</t>
    </r>
  </si>
  <si>
    <r>
      <rPr>
        <sz val="11"/>
        <color rgb="FF000000"/>
        <rFont val="Calibri"/>
      </rPr>
      <t>If the same keys are used between eBGP neighbors, the chance of a hacker compromising any of the BGP sessions increases. It is possible that a malicious user exists in one autonomous system who would know the key used for the eBGP session. This user would then be able to hijack BGP sessions with other trusted neighbors.</t>
    </r>
  </si>
  <si>
    <r>
      <rPr>
        <sz val="11"/>
        <color rgb="FF000000"/>
        <rFont val="Calibri"/>
      </rPr>
      <t>If the Tier-0 Gateway is not using BGP, this is Not Applicable.</t>
    </r>
    <r>
      <rPr>
        <sz val="11"/>
        <color rgb="FF000000"/>
        <rFont val="Calibri"/>
      </rPr>
      <t xml:space="preserve">
</t>
    </r>
    <r>
      <rPr>
        <sz val="11"/>
        <color rgb="FF000000"/>
        <rFont val="Calibri"/>
      </rPr>
      <t>Since the NSX-T Tier-0 Gateway does not reveal the current password, interview the router administrator to determine if unique keys are being used.</t>
    </r>
    <r>
      <rPr>
        <sz val="11"/>
        <color rgb="FF000000"/>
        <rFont val="Calibri"/>
      </rPr>
      <t xml:space="preserve">
</t>
    </r>
    <r>
      <rPr>
        <sz val="11"/>
        <color rgb="FF000000"/>
        <rFont val="Calibri"/>
      </rPr>
      <t>If unique keys are not being used for each AS, this is a finding.</t>
    </r>
  </si>
  <si>
    <t>V-251753</t>
  </si>
  <si>
    <r>
      <rPr>
        <sz val="11"/>
        <rFont val="Calibri"/>
      </rPr>
      <t>The NSX-T Tier-0 Gateway must be configured to have Internet Control Message Protocol (ICMP) unreachable notifications disabled on all external interfaces.</t>
    </r>
  </si>
  <si>
    <r>
      <rPr>
        <sz val="11"/>
        <color rgb="FF000000"/>
        <rFont val="Calibri"/>
      </rPr>
      <t>To configure a shared rule to drop ICMP unreachable messages do the following:</t>
    </r>
    <r>
      <rPr>
        <sz val="11"/>
        <color rgb="FF000000"/>
        <rFont val="Calibri"/>
      </rPr>
      <t xml:space="preserve">
</t>
    </r>
    <r>
      <rPr>
        <sz val="11"/>
        <color rgb="FF000000"/>
        <rFont val="Calibri"/>
      </rPr>
      <t>From the NSX-T Manager web interface, go to Security &gt;&gt; Gateway Firewall &gt;&gt; All Shared Rules.</t>
    </r>
    <r>
      <rPr>
        <sz val="11"/>
        <color rgb="FF000000"/>
        <rFont val="Calibri"/>
      </rPr>
      <t xml:space="preserve">
</t>
    </r>
    <r>
      <rPr>
        <sz val="11"/>
        <color rgb="FF000000"/>
        <rFont val="Calibri"/>
      </rPr>
      <t>Click "Add Rule" (Add a policy first if needed), under services select "ICMP Destination Unreachable", and then click "Apply".</t>
    </r>
    <r>
      <rPr>
        <sz val="11"/>
        <color rgb="FF000000"/>
        <rFont val="Calibri"/>
      </rPr>
      <t xml:space="preserve">
</t>
    </r>
    <r>
      <rPr>
        <sz val="11"/>
        <color rgb="FF000000"/>
        <rFont val="Calibri"/>
      </rPr>
      <t>Enable logging, and under the Applied To field select the target Tier-0 Gateways. Click "Publish" to enforce the new rule.</t>
    </r>
    <r>
      <rPr>
        <sz val="11"/>
        <color rgb="FF000000"/>
        <rFont val="Calibri"/>
      </rPr>
      <t xml:space="preserve">
</t>
    </r>
    <r>
      <rPr>
        <sz val="11"/>
        <color rgb="FF000000"/>
        <rFont val="Calibri"/>
      </rPr>
      <t>Note: A rule can also be created under Gateway Specific Rules to meet this requirement.</t>
    </r>
  </si>
  <si>
    <r>
      <rPr>
        <sz val="11"/>
        <color rgb="FF000000"/>
        <rFont val="Calibri"/>
      </rPr>
      <t>The ICMP supports IP traffic by relaying information about paths, routes, and network conditions. Routers automatically send ICMP messages under a wide variety of conditions. Host unreachable ICMP messages are commonly used by attackers for network mapping and diagnosis.</t>
    </r>
  </si>
  <si>
    <r>
      <rPr>
        <sz val="11"/>
        <color rgb="FF000000"/>
        <rFont val="Calibri"/>
      </rPr>
      <t>If the Tier-0 Gateway is deployed in an Active/Active HA mode, this is Not Applicable.</t>
    </r>
    <r>
      <rPr>
        <sz val="11"/>
        <color rgb="FF000000"/>
        <rFont val="Calibri"/>
      </rPr>
      <t xml:space="preserve">
</t>
    </r>
    <r>
      <rPr>
        <sz val="11"/>
        <color rgb="FF000000"/>
        <rFont val="Calibri"/>
      </rPr>
      <t>From the NSX-T Manager web interface, go to Security &gt;&gt; Gateway Firewall &gt;&gt; Gateway Specific Rules, and choose each Tier-0 Gateway in the drop-down.</t>
    </r>
    <r>
      <rPr>
        <sz val="11"/>
        <color rgb="FF000000"/>
        <rFont val="Calibri"/>
      </rPr>
      <t xml:space="preserve">
</t>
    </r>
    <r>
      <rPr>
        <sz val="11"/>
        <color rgb="FF000000"/>
        <rFont val="Calibri"/>
      </rPr>
      <t>Review each Tier-0 Gateway Firewall rule to verify one exists to drop ICMP unreachable messages.</t>
    </r>
    <r>
      <rPr>
        <sz val="11"/>
        <color rgb="FF000000"/>
        <rFont val="Calibri"/>
      </rPr>
      <t xml:space="preserve">
</t>
    </r>
    <r>
      <rPr>
        <sz val="11"/>
        <color rgb="FF000000"/>
        <rFont val="Calibri"/>
      </rPr>
      <t>If a rule does not exist to drop ICMP unreachable messages, this is a finding.</t>
    </r>
  </si>
  <si>
    <t>V-251754</t>
  </si>
  <si>
    <r>
      <rPr>
        <sz val="11"/>
        <rFont val="Calibri"/>
      </rPr>
      <t>The NSX-T Tier-0 Gateway must be configured to have Internet Control Message Protocol (ICMP) mask replies disabled on all external interfaces.</t>
    </r>
  </si>
  <si>
    <r>
      <rPr>
        <sz val="11"/>
        <color rgb="FF000000"/>
        <rFont val="Calibri"/>
      </rPr>
      <t>To configure a shared rule to drop ICMP unreachable messages do the following:</t>
    </r>
    <r>
      <rPr>
        <sz val="11"/>
        <color rgb="FF000000"/>
        <rFont val="Calibri"/>
      </rPr>
      <t xml:space="preserve">
</t>
    </r>
    <r>
      <rPr>
        <sz val="11"/>
        <color rgb="FF000000"/>
        <rFont val="Calibri"/>
      </rPr>
      <t>From the NSX-T Manager web interface, go to Security &gt;&gt; Gateway Firewall &gt;&gt; All Shared Rules.</t>
    </r>
    <r>
      <rPr>
        <sz val="11"/>
        <color rgb="FF000000"/>
        <rFont val="Calibri"/>
      </rPr>
      <t xml:space="preserve">
</t>
    </r>
    <r>
      <rPr>
        <sz val="11"/>
        <color rgb="FF000000"/>
        <rFont val="Calibri"/>
      </rPr>
      <t>Click "Add Rule" (Add a policy first if needed), under "Services" select the custom service that identifies ICMP mask replies, and then click "Apply".</t>
    </r>
    <r>
      <rPr>
        <sz val="11"/>
        <color rgb="FF000000"/>
        <rFont val="Calibri"/>
      </rPr>
      <t xml:space="preserve">
</t>
    </r>
    <r>
      <rPr>
        <sz val="11"/>
        <color rgb="FF000000"/>
        <rFont val="Calibri"/>
      </rPr>
      <t>Enable logging, under the "Applied To" field select the target Tier-0 Gateways, and then click "Publish" to enforce the new rule.</t>
    </r>
    <r>
      <rPr>
        <sz val="11"/>
        <color rgb="FF000000"/>
        <rFont val="Calibri"/>
      </rPr>
      <t xml:space="preserve">
</t>
    </r>
    <r>
      <rPr>
        <sz val="11"/>
        <color rgb="FF000000"/>
        <rFont val="Calibri"/>
      </rPr>
      <t>Note: A rule can also be created under Gateway Specific Rules to meet this requirement.</t>
    </r>
    <r>
      <rPr>
        <sz val="11"/>
        <color rgb="FF000000"/>
        <rFont val="Calibri"/>
      </rPr>
      <t xml:space="preserve">
</t>
    </r>
    <r>
      <rPr>
        <sz val="11"/>
        <color rgb="FF000000"/>
        <rFont val="Calibri"/>
      </rPr>
      <t>Note: A pre-created service for ICMP mask replies does not exist by default and may need to be created.</t>
    </r>
  </si>
  <si>
    <r>
      <rPr>
        <sz val="11"/>
        <color rgb="FF000000"/>
        <rFont val="Calibri"/>
      </rPr>
      <t>The ICMP supports IP traffic by relaying information about paths, routes, and network conditions. Routers automatically send ICMP messages under a wide variety of conditions. Mask Reply ICMP messages are commonly used by attackers for network mapping and diagnosis.</t>
    </r>
  </si>
  <si>
    <r>
      <rPr>
        <sz val="11"/>
        <color rgb="FF000000"/>
        <rFont val="Calibri"/>
      </rPr>
      <t>If the Tier-0 Gateway is deployed in an Active/Active HA mode, this is Not Applicable.</t>
    </r>
    <r>
      <rPr>
        <sz val="11"/>
        <color rgb="FF000000"/>
        <rFont val="Calibri"/>
      </rPr>
      <t xml:space="preserve">
</t>
    </r>
    <r>
      <rPr>
        <sz val="11"/>
        <color rgb="FF000000"/>
        <rFont val="Calibri"/>
      </rPr>
      <t>From the NSX-T Manager web interface, go to Security &gt;&gt; Gateway Firewall &gt;&gt; Gateway Specific Rules, and choose each Tier-0 Gateway in the drop-down.</t>
    </r>
    <r>
      <rPr>
        <sz val="11"/>
        <color rgb="FF000000"/>
        <rFont val="Calibri"/>
      </rPr>
      <t xml:space="preserve">
</t>
    </r>
    <r>
      <rPr>
        <sz val="11"/>
        <color rgb="FF000000"/>
        <rFont val="Calibri"/>
      </rPr>
      <t>Review each Tier-0 Gateway Firewall rule to verify one exists to drop ICMP mask replies.</t>
    </r>
    <r>
      <rPr>
        <sz val="11"/>
        <color rgb="FF000000"/>
        <rFont val="Calibri"/>
      </rPr>
      <t xml:space="preserve">
</t>
    </r>
    <r>
      <rPr>
        <sz val="11"/>
        <color rgb="FF000000"/>
        <rFont val="Calibri"/>
      </rPr>
      <t>If a rule does not exist to drop ICMP mask replies, this is a finding.</t>
    </r>
  </si>
  <si>
    <t>V-251755</t>
  </si>
  <si>
    <r>
      <rPr>
        <sz val="11"/>
        <rFont val="Calibri"/>
      </rPr>
      <t>The NSX-T Tier-0 Gateway must be configured to have Internet Control Message Protocol (ICMP) redirects disabled on all external interfaces.</t>
    </r>
  </si>
  <si>
    <r>
      <rPr>
        <sz val="11"/>
        <color rgb="FF000000"/>
        <rFont val="Calibri"/>
      </rPr>
      <t>To configure a shared rule to drop ICMP unreachable messages do the following:</t>
    </r>
    <r>
      <rPr>
        <sz val="11"/>
        <color rgb="FF000000"/>
        <rFont val="Calibri"/>
      </rPr>
      <t xml:space="preserve">
</t>
    </r>
    <r>
      <rPr>
        <sz val="11"/>
        <color rgb="FF000000"/>
        <rFont val="Calibri"/>
      </rPr>
      <t>From the NSX-T Manager web interface, go to Security &gt;&gt; Gateway Firewall &gt;&gt; All Shared Rules.</t>
    </r>
    <r>
      <rPr>
        <sz val="11"/>
        <color rgb="FF000000"/>
        <rFont val="Calibri"/>
      </rPr>
      <t xml:space="preserve">
</t>
    </r>
    <r>
      <rPr>
        <sz val="11"/>
        <color rgb="FF000000"/>
        <rFont val="Calibri"/>
      </rPr>
      <t>Click "Add Rule" (Add a policy first if needed), under services select "ICMP Redirect", and then click "Apply".</t>
    </r>
    <r>
      <rPr>
        <sz val="11"/>
        <color rgb="FF000000"/>
        <rFont val="Calibri"/>
      </rPr>
      <t xml:space="preserve">
</t>
    </r>
    <r>
      <rPr>
        <sz val="11"/>
        <color rgb="FF000000"/>
        <rFont val="Calibri"/>
      </rPr>
      <t>Enable logging, under the "Applied To" field select the target Tier-0 Gateways, and then click "Publish" to enforce the new rule.</t>
    </r>
    <r>
      <rPr>
        <sz val="11"/>
        <color rgb="FF000000"/>
        <rFont val="Calibri"/>
      </rPr>
      <t xml:space="preserve">
</t>
    </r>
    <r>
      <rPr>
        <sz val="11"/>
        <color rgb="FF000000"/>
        <rFont val="Calibri"/>
      </rPr>
      <t>Note: A rule can also be created under Gateway Specific Rules to meet this requirement.</t>
    </r>
  </si>
  <si>
    <r>
      <rPr>
        <sz val="11"/>
        <color rgb="FF000000"/>
        <rFont val="Calibri"/>
      </rPr>
      <t>The ICMP supports IP traffic by relaying information about paths, routes, and network conditions. Routers automatically send ICMP messages under a wide variety of conditions. Redirect ICMP messages are commonly used by attackers for network mapping and diagnosis.</t>
    </r>
  </si>
  <si>
    <r>
      <rPr>
        <sz val="11"/>
        <color rgb="FF000000"/>
        <rFont val="Calibri"/>
      </rPr>
      <t>If the Tier-0 Gateway is deployed in an Active/Active HA mode, this is Not Applicable.</t>
    </r>
    <r>
      <rPr>
        <sz val="11"/>
        <color rgb="FF000000"/>
        <rFont val="Calibri"/>
      </rPr>
      <t xml:space="preserve">
</t>
    </r>
    <r>
      <rPr>
        <sz val="11"/>
        <color rgb="FF000000"/>
        <rFont val="Calibri"/>
      </rPr>
      <t>From the NSX-T Manager web interface, go to Security &gt;&gt; Gateway Firewall &gt;&gt; Gateway Specific Rules, and choose each Tier-0 Gateway in the drop-down.</t>
    </r>
    <r>
      <rPr>
        <sz val="11"/>
        <color rgb="FF000000"/>
        <rFont val="Calibri"/>
      </rPr>
      <t xml:space="preserve">
</t>
    </r>
    <r>
      <rPr>
        <sz val="11"/>
        <color rgb="FF000000"/>
        <rFont val="Calibri"/>
      </rPr>
      <t>Review each Tier-0 Gateway Firewalls rules to verify one exists to drop ICMP redirects.</t>
    </r>
    <r>
      <rPr>
        <sz val="11"/>
        <color rgb="FF000000"/>
        <rFont val="Calibri"/>
      </rPr>
      <t xml:space="preserve">
</t>
    </r>
    <r>
      <rPr>
        <sz val="11"/>
        <color rgb="FF000000"/>
        <rFont val="Calibri"/>
      </rPr>
      <t>If a rule does not exist to drop ICMP redirects, this is a finding.</t>
    </r>
  </si>
  <si>
    <t>V-251756</t>
  </si>
  <si>
    <r>
      <rPr>
        <sz val="11"/>
        <rFont val="Calibri"/>
      </rPr>
      <t>The NSX-T Tier-0 Gateway must be configured to use the BGP maximum prefixes feature to protect against route table flooding and prefix de-aggregation attacks.</t>
    </r>
  </si>
  <si>
    <r>
      <rPr>
        <sz val="11"/>
        <color rgb="FF000000"/>
        <rFont val="Calibri"/>
      </rPr>
      <t>To set maximum prefixes for BGP neighbors do the following:</t>
    </r>
    <r>
      <rPr>
        <sz val="11"/>
        <color rgb="FF000000"/>
        <rFont val="Calibri"/>
      </rPr>
      <t xml:space="preserve">
</t>
    </r>
    <r>
      <rPr>
        <sz val="11"/>
        <color rgb="FF000000"/>
        <rFont val="Calibri"/>
      </rPr>
      <t>From the NSX-T Manager web interface, go to Networking &gt;&gt; Tier-0 Gateways and expand the target Tier-0 gateway.</t>
    </r>
    <r>
      <rPr>
        <sz val="11"/>
        <color rgb="FF000000"/>
        <rFont val="Calibri"/>
      </rPr>
      <t xml:space="preserve">
</t>
    </r>
    <r>
      <rPr>
        <sz val="11"/>
        <color rgb="FF000000"/>
        <rFont val="Calibri"/>
      </rPr>
      <t>Expand BGP. Next to BGP Neighbors, click on the number present to open the dialog, and then select "Edit" on the target BGP Neighbor.</t>
    </r>
    <r>
      <rPr>
        <sz val="11"/>
        <color rgb="FF000000"/>
        <rFont val="Calibri"/>
      </rPr>
      <t xml:space="preserve">
</t>
    </r>
    <r>
      <rPr>
        <sz val="11"/>
        <color rgb="FF000000"/>
        <rFont val="Calibri"/>
      </rPr>
      <t>Click "Router Filter", add or edit an existing router filter, enter a number for Maximum Routes, and then click "Add".</t>
    </r>
    <r>
      <rPr>
        <sz val="11"/>
        <color rgb="FF000000"/>
        <rFont val="Calibri"/>
      </rPr>
      <t xml:space="preserve">
</t>
    </r>
    <r>
      <rPr>
        <sz val="11"/>
        <color rgb="FF000000"/>
        <rFont val="Calibri"/>
      </rPr>
      <t>Click "Apply", then click "Save" to finish the configuration.</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</si>
  <si>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r>
      <rPr>
        <sz val="11"/>
        <color rgb="FF000000"/>
        <rFont val="Calibri"/>
      </rPr>
      <t xml:space="preserve">
</t>
    </r>
    <r>
      <rPr>
        <sz val="11"/>
        <color rgb="FF000000"/>
        <rFont val="Calibri"/>
      </rPr>
      <t>In 1997, misconfigured routers in the Florida Internet Exchange network (AS7007) de-aggregated every prefix in their routing table and started advertising the first /24 block of each of these prefixes as their own. Faced with this additional burden, the internal routers became overloaded and crashed repeatedly. This caused prefixes advertised by these routers to disappear from routing tables and reappear when the routers came back online. As the routers came back after crashing, they were flooded with the routing table information by their neighbors. The flood of information would again overwhelm the routers and cause them to crash. This process of route flapping served to destabilize not only the surrounding network but also the entire internet. Routers trying to reach those addresses would choose the smaller, more specific /24 blocks first. This caused backbone networks throughout North America and Europe to crash.</t>
    </r>
    <r>
      <rPr>
        <sz val="11"/>
        <color rgb="FF000000"/>
        <rFont val="Calibri"/>
      </rPr>
      <t xml:space="preserve">
</t>
    </r>
    <r>
      <rPr>
        <sz val="11"/>
        <color rgb="FF000000"/>
        <rFont val="Calibri"/>
      </rPr>
      <t>Maximum prefix limits on peer connections combined with aggressive prefix-size filtering of customers' reachability advertisements will effectively mitigate the de-aggregation risk. BGP maximum prefix must be used on all eBGP routers to limit the number of prefixes that it should receive from a particular neighbor, whether customer or peering AS. Consider each neighbor and how many routes they should be advertising and set a threshold slightly higher than the number expected.</t>
    </r>
  </si>
  <si>
    <r>
      <rPr>
        <sz val="11"/>
        <color rgb="FF000000"/>
        <rFont val="Calibri"/>
      </rPr>
      <t>If the Tier-0 Gateway is not using BGP, this is Not Applicable.</t>
    </r>
    <r>
      <rPr>
        <sz val="11"/>
        <color rgb="FF000000"/>
        <rFont val="Calibri"/>
      </rPr>
      <t xml:space="preserve">
</t>
    </r>
    <r>
      <rPr>
        <sz val="11"/>
        <color rgb="FF000000"/>
        <rFont val="Calibri"/>
      </rPr>
      <t>From the NSX-T Manager web interface, go to Networking &gt;&gt; Tier-0 Gateways.</t>
    </r>
    <r>
      <rPr>
        <sz val="11"/>
        <color rgb="FF000000"/>
        <rFont val="Calibri"/>
      </rPr>
      <t xml:space="preserve">
</t>
    </r>
    <r>
      <rPr>
        <sz val="11"/>
        <color rgb="FF000000"/>
        <rFont val="Calibri"/>
      </rPr>
      <t>For every Tier-0 Gateway with BGP enabled, expand the Tier-0 Gateway.</t>
    </r>
    <r>
      <rPr>
        <sz val="11"/>
        <color rgb="FF000000"/>
        <rFont val="Calibri"/>
      </rPr>
      <t xml:space="preserve">
</t>
    </r>
    <r>
      <rPr>
        <sz val="11"/>
        <color rgb="FF000000"/>
        <rFont val="Calibri"/>
      </rPr>
      <t>Expand BGP, click on the number next to BGP Neighbors, and then view the Router Filters for each neighbor.</t>
    </r>
    <r>
      <rPr>
        <sz val="11"/>
        <color rgb="FF000000"/>
        <rFont val="Calibri"/>
      </rPr>
      <t xml:space="preserve">
</t>
    </r>
    <r>
      <rPr>
        <sz val="11"/>
        <color rgb="FF000000"/>
        <rFont val="Calibri"/>
      </rPr>
      <t>If Maximum Routes is not configured or a route filter does not exist for each BGP neighbor, this is a finding.</t>
    </r>
  </si>
  <si>
    <t>V-251757</t>
  </si>
  <si>
    <r>
      <rPr>
        <sz val="11"/>
        <rFont val="Calibri"/>
      </rPr>
      <t>The NSX-T Tier-0 Gateway must be configured to use its loopback address as the source address for iBGP peering sessions.</t>
    </r>
  </si>
  <si>
    <r>
      <rPr>
        <sz val="11"/>
        <color rgb="FF000000"/>
        <rFont val="Calibri"/>
      </rPr>
      <t>To configure a loopback interface do the following:</t>
    </r>
    <r>
      <rPr>
        <sz val="11"/>
        <color rgb="FF000000"/>
        <rFont val="Calibri"/>
      </rPr>
      <t xml:space="preserve">
</t>
    </r>
    <r>
      <rPr>
        <sz val="11"/>
        <color rgb="FF000000"/>
        <rFont val="Calibri"/>
      </rPr>
      <t>From the NSX-T Manager web interface, go to Networking &gt;&gt; Tier-0 Gateways and expand the target Tier-0 gateway.</t>
    </r>
    <r>
      <rPr>
        <sz val="11"/>
        <color rgb="FF000000"/>
        <rFont val="Calibri"/>
      </rPr>
      <t xml:space="preserve">
</t>
    </r>
    <r>
      <rPr>
        <sz val="11"/>
        <color rgb="FF000000"/>
        <rFont val="Calibri"/>
      </rPr>
      <t>Expand interfaces and click "Add Interface".</t>
    </r>
    <r>
      <rPr>
        <sz val="11"/>
        <color rgb="FF000000"/>
        <rFont val="Calibri"/>
      </rPr>
      <t xml:space="preserve">
</t>
    </r>
    <r>
      <rPr>
        <sz val="11"/>
        <color rgb="FF000000"/>
        <rFont val="Calibri"/>
      </rPr>
      <t>Enter a name, select "Loopback" as the Type, enter an IP address, select an Edge Node for the interface, and then click "Save".</t>
    </r>
    <r>
      <rPr>
        <sz val="11"/>
        <color rgb="FF000000"/>
        <rFont val="Calibri"/>
      </rPr>
      <t xml:space="preserve">
</t>
    </r>
    <r>
      <rPr>
        <sz val="11"/>
        <color rgb="FF000000"/>
        <rFont val="Calibri"/>
      </rPr>
      <t>Note: More than one loopback may need to be configured depending on the routing architecture.</t>
    </r>
    <r>
      <rPr>
        <sz val="11"/>
        <color rgb="FF000000"/>
        <rFont val="Calibri"/>
      </rPr>
      <t xml:space="preserve">
</t>
    </r>
    <r>
      <rPr>
        <sz val="11"/>
        <color rgb="FF000000"/>
        <rFont val="Calibri"/>
      </rPr>
      <t>To set the source address for BGP neighbors do the following:</t>
    </r>
    <r>
      <rPr>
        <sz val="11"/>
        <color rgb="FF000000"/>
        <rFont val="Calibri"/>
      </rPr>
      <t xml:space="preserve">
</t>
    </r>
    <r>
      <rPr>
        <sz val="11"/>
        <color rgb="FF000000"/>
        <rFont val="Calibri"/>
      </rPr>
      <t>From the NSX-T Manager web interface, go to Networking &gt;&gt; Tier-0 Gateways &gt;&gt; expand the target Tier-0 gateway.</t>
    </r>
    <r>
      <rPr>
        <sz val="11"/>
        <color rgb="FF000000"/>
        <rFont val="Calibri"/>
      </rPr>
      <t xml:space="preserve">
</t>
    </r>
    <r>
      <rPr>
        <sz val="11"/>
        <color rgb="FF000000"/>
        <rFont val="Calibri"/>
      </rPr>
      <t>Expand BGP &gt;&gt; next to BGP Neighbors click on the number present to open the dialog &gt;&gt; select Edit on the target BGP Neighbor.</t>
    </r>
    <r>
      <rPr>
        <sz val="11"/>
        <color rgb="FF000000"/>
        <rFont val="Calibri"/>
      </rPr>
      <t xml:space="preserve">
</t>
    </r>
    <r>
      <rPr>
        <sz val="11"/>
        <color rgb="FF000000"/>
        <rFont val="Calibri"/>
      </rPr>
      <t>Under Source Addresses configure the source address with the loopback address and click Save.</t>
    </r>
  </si>
  <si>
    <r>
      <rPr>
        <sz val="11"/>
        <color rgb="FF000000"/>
        <rFont val="Calibri"/>
      </rPr>
      <t>Using a loopback address as the source address offers a multitude of uses for security, access, management, and scalability of the BGP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r>
      <rPr>
        <sz val="11"/>
        <color rgb="FF000000"/>
        <rFont val="Calibri"/>
      </rPr>
      <t xml:space="preserve">
</t>
    </r>
    <r>
      <rPr>
        <sz val="11"/>
        <color rgb="FF000000"/>
        <rFont val="Calibri"/>
      </rPr>
      <t>When the loopback address is used as the source for eBGP peering, the BGP session will be harder to hijack since the source address to be used is not known globally—making it more difficult for a hacker to spoof an eBGP neighbor. By using traceroute, a hacker can easily determine the addresses for an eBGP speaker when the IP address of an external interface is used as the source address. The routers within the iBGP domain should also use loopback addresses as the source address when establishing BGP sessions.</t>
    </r>
  </si>
  <si>
    <r>
      <rPr>
        <sz val="11"/>
        <color rgb="FF000000"/>
        <rFont val="Calibri"/>
      </rPr>
      <t>If the Tier-0 Gateway is not using iBGP, this is Not Applicable.</t>
    </r>
    <r>
      <rPr>
        <sz val="11"/>
        <color rgb="FF000000"/>
        <rFont val="Calibri"/>
      </rPr>
      <t xml:space="preserve">
</t>
    </r>
    <r>
      <rPr>
        <sz val="11"/>
        <color rgb="FF000000"/>
        <rFont val="Calibri"/>
      </rPr>
      <t>From the NSX-T Manager web interface, go to Networking &gt;&gt; Tier-0 Gateways.</t>
    </r>
    <r>
      <rPr>
        <sz val="11"/>
        <color rgb="FF000000"/>
        <rFont val="Calibri"/>
      </rPr>
      <t xml:space="preserve">
</t>
    </r>
    <r>
      <rPr>
        <sz val="11"/>
        <color rgb="FF000000"/>
        <rFont val="Calibri"/>
      </rPr>
      <t>For every Tier-0 Gateway with BGP enabled, expand the Tier-0 Gateway.</t>
    </r>
    <r>
      <rPr>
        <sz val="11"/>
        <color rgb="FF000000"/>
        <rFont val="Calibri"/>
      </rPr>
      <t xml:space="preserve">
</t>
    </r>
    <r>
      <rPr>
        <sz val="11"/>
        <color rgb="FF000000"/>
        <rFont val="Calibri"/>
      </rPr>
      <t>Expand BGP, click on the number next to BGP Neighbors, then view the source address for each neighbor.</t>
    </r>
    <r>
      <rPr>
        <sz val="11"/>
        <color rgb="FF000000"/>
        <rFont val="Calibri"/>
      </rPr>
      <t xml:space="preserve">
</t>
    </r>
    <r>
      <rPr>
        <sz val="11"/>
        <color rgb="FF000000"/>
        <rFont val="Calibri"/>
      </rPr>
      <t>If the Source Address is not configured as the NSX-T Tier-0 Gateway loopback address for the iBGP session, this is a finding.</t>
    </r>
  </si>
  <si>
    <t>V-251758</t>
  </si>
  <si>
    <r>
      <rPr>
        <sz val="11"/>
        <rFont val="Calibri"/>
      </rPr>
      <t>The NSX-T Tier-0 Gateway must be configured to have routing protocols disabled if not in use.</t>
    </r>
  </si>
  <si>
    <r>
      <rPr>
        <sz val="11"/>
        <color rgb="FF000000"/>
        <rFont val="Calibri"/>
      </rPr>
      <t>To disable BGP do the following:</t>
    </r>
    <r>
      <rPr>
        <sz val="11"/>
        <color rgb="FF000000"/>
        <rFont val="Calibri"/>
      </rPr>
      <t xml:space="preserve">
</t>
    </r>
    <r>
      <rPr>
        <sz val="11"/>
        <color rgb="FF000000"/>
        <rFont val="Calibri"/>
      </rPr>
      <t>From the NSX-T Manager web interface, go to Networking &gt;&gt; Tier-0 Gateways and edit the target Tier-0 Gateway.</t>
    </r>
    <r>
      <rPr>
        <sz val="11"/>
        <color rgb="FF000000"/>
        <rFont val="Calibri"/>
      </rPr>
      <t xml:space="preserve">
</t>
    </r>
    <r>
      <rPr>
        <sz val="11"/>
        <color rgb="FF000000"/>
        <rFont val="Calibri"/>
      </rPr>
      <t>Expand BGP, change from "On" to "Off", and then click "Save".</t>
    </r>
    <r>
      <rPr>
        <sz val="11"/>
        <color rgb="FF000000"/>
        <rFont val="Calibri"/>
      </rPr>
      <t xml:space="preserve">
</t>
    </r>
    <r>
      <rPr>
        <sz val="11"/>
        <color rgb="FF000000"/>
        <rFont val="Calibri"/>
      </rPr>
      <t>To disable OSPF do the following:</t>
    </r>
    <r>
      <rPr>
        <sz val="11"/>
        <color rgb="FF000000"/>
        <rFont val="Calibri"/>
      </rPr>
      <t xml:space="preserve">
</t>
    </r>
    <r>
      <rPr>
        <sz val="11"/>
        <color rgb="FF000000"/>
        <rFont val="Calibri"/>
      </rPr>
      <t>From the NSX-T Manager web interface, go to Networking &gt;&gt; Tier-0 Gateways and edit the target Tier-0 Gateway.</t>
    </r>
    <r>
      <rPr>
        <sz val="11"/>
        <color rgb="FF000000"/>
        <rFont val="Calibri"/>
      </rPr>
      <t xml:space="preserve">
</t>
    </r>
    <r>
      <rPr>
        <sz val="11"/>
        <color rgb="FF000000"/>
        <rFont val="Calibri"/>
      </rPr>
      <t>Expand OSPF, change from "Enabled" to "Disabled", and then click "Save".</t>
    </r>
  </si>
  <si>
    <r>
      <rPr>
        <sz val="11"/>
        <color rgb="FF000000"/>
        <rFont val="Calibri"/>
      </rPr>
      <t>From the NSX-T Manager web interface, go to Networking &gt;&gt; Tier-0 Gateways.</t>
    </r>
    <r>
      <rPr>
        <sz val="11"/>
        <color rgb="FF000000"/>
        <rFont val="Calibri"/>
      </rPr>
      <t xml:space="preserve">
</t>
    </r>
    <r>
      <rPr>
        <sz val="11"/>
        <color rgb="FF000000"/>
        <rFont val="Calibri"/>
      </rPr>
      <t>For every Tier-0 Gateway, expand the Tier-0 Gateway to view if BGP or OSPF is enabled.</t>
    </r>
    <r>
      <rPr>
        <sz val="11"/>
        <color rgb="FF000000"/>
        <rFont val="Calibri"/>
      </rPr>
      <t xml:space="preserve">
</t>
    </r>
    <r>
      <rPr>
        <sz val="11"/>
        <color rgb="FF000000"/>
        <rFont val="Calibri"/>
      </rPr>
      <t>If BGP and/or OSPF is enabled and not in use, this is a finding.</t>
    </r>
  </si>
  <si>
    <t>V-251759</t>
  </si>
  <si>
    <r>
      <rPr>
        <sz val="11"/>
        <rFont val="Calibri"/>
      </rPr>
      <t>The NSX-T Tier-0 Gateway must be configured to have multicast disabled if not in use.</t>
    </r>
  </si>
  <si>
    <r>
      <rPr>
        <sz val="11"/>
        <color rgb="FF000000"/>
        <rFont val="Calibri"/>
      </rPr>
      <t>To disable Multicast do the following:</t>
    </r>
    <r>
      <rPr>
        <sz val="11"/>
        <color rgb="FF000000"/>
        <rFont val="Calibri"/>
      </rPr>
      <t xml:space="preserve">
</t>
    </r>
    <r>
      <rPr>
        <sz val="11"/>
        <color rgb="FF000000"/>
        <rFont val="Calibri"/>
      </rPr>
      <t>From the NSX-T Manager web interface, go to Networking &gt;&gt; Tier-0 Gateways and edit the target Tier-0 Gateway.</t>
    </r>
    <r>
      <rPr>
        <sz val="11"/>
        <color rgb="FF000000"/>
        <rFont val="Calibri"/>
      </rPr>
      <t xml:space="preserve">
</t>
    </r>
    <r>
      <rPr>
        <sz val="11"/>
        <color rgb="FF000000"/>
        <rFont val="Calibri"/>
      </rPr>
      <t>Expand Multicast, change from "Enabled" to "Disabled", and then click "Save".</t>
    </r>
  </si>
  <si>
    <r>
      <rPr>
        <sz val="11"/>
        <color rgb="FF000000"/>
        <rFont val="Calibri"/>
      </rPr>
      <t>From the NSX-T Manager web interface, go to Networking &gt;&gt; Tier-0 Gateways.</t>
    </r>
    <r>
      <rPr>
        <sz val="11"/>
        <color rgb="FF000000"/>
        <rFont val="Calibri"/>
      </rPr>
      <t xml:space="preserve">
</t>
    </r>
    <r>
      <rPr>
        <sz val="11"/>
        <color rgb="FF000000"/>
        <rFont val="Calibri"/>
      </rPr>
      <t>For every Tier-0 Gateway, expand the Tier-0 Gateway, then expand Multicast to view the Multicast configuration.</t>
    </r>
    <r>
      <rPr>
        <sz val="11"/>
        <color rgb="FF000000"/>
        <rFont val="Calibri"/>
      </rPr>
      <t xml:space="preserve">
</t>
    </r>
    <r>
      <rPr>
        <sz val="11"/>
        <color rgb="FF000000"/>
        <rFont val="Calibri"/>
      </rPr>
      <t>If Multicast is enabled and not in use, this is a finding.</t>
    </r>
  </si>
  <si>
    <t>V-251761</t>
  </si>
  <si>
    <r>
      <rPr>
        <sz val="11"/>
        <rFont val="Calibri"/>
      </rPr>
      <t>The NSX-T Tier-1 Gateway Firewall must generate traffic log entries containing information to establish what type of events occurred.</t>
    </r>
  </si>
  <si>
    <t>Tier 1 Gateway Firewall</t>
  </si>
  <si>
    <r>
      <rPr>
        <sz val="11"/>
        <color rgb="FF000000"/>
        <rFont val="Calibri"/>
      </rPr>
      <t xml:space="preserve">From the NSX-T Manager web interface, go to Security &gt;&gt; Gateway Firewall &gt;&gt; Gateway Specific Rules. </t>
    </r>
    <r>
      <rPr>
        <sz val="11"/>
        <color rgb="FF000000"/>
        <rFont val="Calibri"/>
      </rPr>
      <t xml:space="preserve">
</t>
    </r>
    <r>
      <rPr>
        <sz val="11"/>
        <color rgb="FF000000"/>
        <rFont val="Calibri"/>
      </rPr>
      <t>For each Tier-1 Gateway and for each rule with logging disabled, click the gear icon and enable Logging, then click "Apply".</t>
    </r>
    <r>
      <rPr>
        <sz val="11"/>
        <color rgb="FF000000"/>
        <rFont val="Calibri"/>
      </rPr>
      <t xml:space="preserve">
</t>
    </r>
    <r>
      <rPr>
        <sz val="11"/>
        <color rgb="FF000000"/>
        <rFont val="Calibri"/>
      </rPr>
      <t>After all changes are made, click "Publish".</t>
    </r>
  </si>
  <si>
    <r>
      <rPr>
        <sz val="11"/>
        <color rgb="FF000000"/>
        <rFont val="Calibri"/>
      </rPr>
      <t>Without establishing what type of event occurred, it would be difficult to establish, correlate, and investigate the events leading up to an outage or attack.</t>
    </r>
    <r>
      <rPr>
        <sz val="11"/>
        <color rgb="FF000000"/>
        <rFont val="Calibri"/>
      </rPr>
      <t xml:space="preserve">
</t>
    </r>
    <r>
      <rPr>
        <sz val="11"/>
        <color rgb="FF000000"/>
        <rFont val="Calibri"/>
      </rPr>
      <t>Audit event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network element logs provides a means of investigating an attack, recognizing resource utilization or capacity thresholds, or identifying an improperly configured network element.</t>
    </r>
  </si>
  <si>
    <r>
      <rPr>
        <sz val="11"/>
        <color rgb="FF000000"/>
        <rFont val="Calibri"/>
      </rPr>
      <t xml:space="preserve">From the NSX-T Manager web interface, go to Security &gt;&gt; Gateway Firewall &gt;&gt; Gateway Specific Rules. </t>
    </r>
    <r>
      <rPr>
        <sz val="11"/>
        <color rgb="FF000000"/>
        <rFont val="Calibri"/>
      </rPr>
      <t xml:space="preserve">
</t>
    </r>
    <r>
      <rPr>
        <sz val="11"/>
        <color rgb="FF000000"/>
        <rFont val="Calibri"/>
      </rPr>
      <t>For each Tier-1 Gateway and for each rule, click the gear icon and verify the Logging setting.</t>
    </r>
    <r>
      <rPr>
        <sz val="11"/>
        <color rgb="FF000000"/>
        <rFont val="Calibri"/>
      </rPr>
      <t xml:space="preserve">
</t>
    </r>
    <r>
      <rPr>
        <sz val="11"/>
        <color rgb="FF000000"/>
        <rFont val="Calibri"/>
      </rPr>
      <t>If Logging is not "Enabled", this is a finding.</t>
    </r>
  </si>
  <si>
    <t>V-251762</t>
  </si>
  <si>
    <r>
      <rPr>
        <sz val="11"/>
        <rFont val="Calibri"/>
      </rPr>
      <t>The NSX-T Tier-1 Gateway Firewall must generate traffic log entries containing information to establish the details of the event.</t>
    </r>
  </si>
  <si>
    <r>
      <rPr>
        <sz val="11"/>
        <color rgb="FF000000"/>
        <rFont val="Calibri"/>
      </rPr>
      <t xml:space="preserve">From the NSX-T Manager web interface, go to Security &gt;&gt; Gateway Firewall &gt;&gt; Gateway Specific Rules. </t>
    </r>
    <r>
      <rPr>
        <sz val="11"/>
        <color rgb="FF000000"/>
        <rFont val="Calibri"/>
      </rPr>
      <t xml:space="preserve">
</t>
    </r>
    <r>
      <rPr>
        <sz val="11"/>
        <color rgb="FF000000"/>
        <rFont val="Calibri"/>
      </rPr>
      <t>For each Tier-1 Gateway and for each rule with logging disabled, click the gear icon and enable Logging and then click "Apply".</t>
    </r>
    <r>
      <rPr>
        <sz val="11"/>
        <color rgb="FF000000"/>
        <rFont val="Calibri"/>
      </rPr>
      <t xml:space="preserve">
</t>
    </r>
    <r>
      <rPr>
        <sz val="11"/>
        <color rgb="FF000000"/>
        <rFont val="Calibri"/>
      </rPr>
      <t>After all changes are made, click "Publish".</t>
    </r>
  </si>
  <si>
    <r>
      <rPr>
        <sz val="11"/>
        <color rgb="FF000000"/>
        <rFont val="Calibri"/>
      </rPr>
      <t>Without sufficient information to analyze the event, it would be difficult to establish, correlate, and investigate the events leading up to an outage or attack.</t>
    </r>
    <r>
      <rPr>
        <sz val="11"/>
        <color rgb="FF000000"/>
        <rFont val="Calibri"/>
      </rPr>
      <t xml:space="preserve">
</t>
    </r>
    <r>
      <rPr>
        <sz val="11"/>
        <color rgb="FF000000"/>
        <rFont val="Calibri"/>
      </rPr>
      <t>Audit event content that must be included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The firewall must also generate traffic log records when traffic is denied, restricted, or discarded as well as when attempts are made to send packets between security zones that are not authorized to communicate.</t>
    </r>
    <r>
      <rPr>
        <sz val="11"/>
        <color rgb="FF000000"/>
        <rFont val="Calibri"/>
      </rPr>
      <t xml:space="preserve">
</t>
    </r>
    <r>
      <rPr>
        <sz val="11"/>
        <color rgb="FF000000"/>
        <rFont val="Calibri"/>
      </rPr>
      <t>Satisfies: SRG-NET-000075-FW-000010, SRG-NET-000076-FW-000011, SRG-NET-000077-FW-000012, SRG-NET-000078-FW-000013, SRG-NET-000399-FW-000008, SRG-NET-000492-FW-000006, SRG-NET-000493-FW-000007</t>
    </r>
  </si>
  <si>
    <t>V-251763</t>
  </si>
  <si>
    <r>
      <rPr>
        <sz val="11"/>
        <rFont val="Calibri"/>
      </rPr>
      <t>Each NSX-T Edge Node configured to host a Tier-1 Gateway Firewall must be configured to use the TLS or LI-TLS protocols to configure and secure traffic log records.</t>
    </r>
  </si>
  <si>
    <r>
      <rPr>
        <sz val="11"/>
        <color rgb="FF000000"/>
        <rFont val="Calibri"/>
      </rPr>
      <t>(Optional) From an NSX-T Edge Gateway shell, run the following command(s) to clear any existing incorrect logging-servers:</t>
    </r>
    <r>
      <rPr>
        <sz val="11"/>
        <color rgb="FF000000"/>
        <rFont val="Calibri"/>
      </rPr>
      <t xml:space="preserve">
</t>
    </r>
    <r>
      <rPr>
        <sz val="11"/>
        <color rgb="FF000000"/>
        <rFont val="Calibri"/>
      </rPr>
      <t>&gt; clear logging-servers</t>
    </r>
    <r>
      <rPr>
        <sz val="11"/>
        <color rgb="FF000000"/>
        <rFont val="Calibri"/>
      </rPr>
      <t xml:space="preserve">
</t>
    </r>
    <r>
      <rPr>
        <sz val="11"/>
        <color rgb="FF000000"/>
        <rFont val="Calibri"/>
      </rPr>
      <t>From an NSX-T Edge Node shell, run the following command(s) to configure a tls syslog server:</t>
    </r>
    <r>
      <rPr>
        <sz val="11"/>
        <color rgb="FF000000"/>
        <rFont val="Calibri"/>
      </rPr>
      <t xml:space="preserve">
</t>
    </r>
    <r>
      <rPr>
        <sz val="11"/>
        <color rgb="FF000000"/>
        <rFont val="Calibri"/>
      </rPr>
      <t>&gt; set logging-server &lt;server-ip or server-name&gt; proto tls level info serverca ca.pem clientca ca.pem certificate cert.pem key key.pem</t>
    </r>
    <r>
      <rPr>
        <sz val="11"/>
        <color rgb="FF000000"/>
        <rFont val="Calibri"/>
      </rPr>
      <t xml:space="preserve">
</t>
    </r>
    <r>
      <rPr>
        <sz val="11"/>
        <color rgb="FF000000"/>
        <rFont val="Calibri"/>
      </rPr>
      <t>From an NSX-T Edge Node shell, run the following command(s) to configure a li-tls syslog server:</t>
    </r>
    <r>
      <rPr>
        <sz val="11"/>
        <color rgb="FF000000"/>
        <rFont val="Calibri"/>
      </rPr>
      <t xml:space="preserve">
</t>
    </r>
    <r>
      <rPr>
        <sz val="11"/>
        <color rgb="FF000000"/>
        <rFont val="Calibri"/>
      </rPr>
      <t>&gt; set logging-server &lt;server-ip or server-name&gt; proto li-tls level info serverca root-ca.crt</t>
    </r>
    <r>
      <rPr>
        <sz val="11"/>
        <color rgb="FF000000"/>
        <rFont val="Calibri"/>
      </rPr>
      <t xml:space="preserve">
</t>
    </r>
    <r>
      <rPr>
        <sz val="11"/>
        <color rgb="FF000000"/>
        <rFont val="Calibri"/>
      </rPr>
      <t>Note: If using the protocols TLS or LI-TLS to configure a secure connection to a log server, the server and client certificates must be stored in /var/vmware/nsx/file-store/ on each NSX-T Edge Gateway appliance.</t>
    </r>
  </si>
  <si>
    <r>
      <rPr>
        <sz val="11"/>
        <color rgb="FF000000"/>
        <rFont val="Calibri"/>
      </rPr>
      <t>It is critical that when the network element is at risk of failing to process traffic logs as required, it takes action to mitigate the failure, secure collected log data, and  restrict access to authorized personnel. Methods of protection may include encryption or logical separation.</t>
    </r>
    <r>
      <rPr>
        <sz val="11"/>
        <color rgb="FF000000"/>
        <rFont val="Calibri"/>
      </rPr>
      <t xml:space="preserve">
</t>
    </r>
    <r>
      <rPr>
        <sz val="11"/>
        <color rgb="FF000000"/>
        <rFont val="Calibri"/>
      </rPr>
      <t xml:space="preserve">In accordance with DOD policy, the traffic log must be sent to a central audit server. </t>
    </r>
    <r>
      <rPr>
        <sz val="11"/>
        <color rgb="FF000000"/>
        <rFont val="Calibri"/>
      </rPr>
      <t xml:space="preserve">
</t>
    </r>
    <r>
      <rPr>
        <sz val="11"/>
        <color rgb="FF000000"/>
        <rFont val="Calibri"/>
      </rPr>
      <t>This does not apply to traffic logs generated on behalf of the device itself (management). Some devices store traffic logs separately from the system logs.</t>
    </r>
    <r>
      <rPr>
        <sz val="11"/>
        <color rgb="FF000000"/>
        <rFont val="Calibri"/>
      </rPr>
      <t xml:space="preserve">
</t>
    </r>
    <r>
      <rPr>
        <sz val="11"/>
        <color rgb="FF000000"/>
        <rFont val="Calibri"/>
      </rPr>
      <t>Satisfies: SRG-NET-000089-FW-000019, SRG-NET-000098-FW-000021</t>
    </r>
  </si>
  <si>
    <r>
      <rPr>
        <sz val="11"/>
        <color rgb="FF000000"/>
        <rFont val="Calibri"/>
      </rPr>
      <t>From an NSX-T Edge Node shell hosting the Tier-1 Gateway, run the following command(s):</t>
    </r>
    <r>
      <rPr>
        <sz val="11"/>
        <color rgb="FF000000"/>
        <rFont val="Calibri"/>
      </rPr>
      <t xml:space="preserve">
</t>
    </r>
    <r>
      <rPr>
        <sz val="11"/>
        <color rgb="FF000000"/>
        <rFont val="Calibri"/>
      </rPr>
      <t>&gt; get logging-servers</t>
    </r>
    <r>
      <rPr>
        <sz val="11"/>
        <color rgb="FF000000"/>
        <rFont val="Calibri"/>
      </rPr>
      <t xml:space="preserve">
</t>
    </r>
    <r>
      <rPr>
        <sz val="11"/>
        <color rgb="FF000000"/>
        <rFont val="Calibri"/>
      </rPr>
      <t>If any configured logging-servers are not configured with protocol of "li-tls" or "tls" and level of "info", this is a finding.</t>
    </r>
    <r>
      <rPr>
        <sz val="11"/>
        <color rgb="FF000000"/>
        <rFont val="Calibri"/>
      </rPr>
      <t xml:space="preserve">
</t>
    </r>
    <r>
      <rPr>
        <sz val="11"/>
        <color rgb="FF000000"/>
        <rFont val="Calibri"/>
      </rPr>
      <t>If no logging-servers are configured, this is a finding.</t>
    </r>
    <r>
      <rPr>
        <sz val="11"/>
        <color rgb="FF000000"/>
        <rFont val="Calibri"/>
      </rPr>
      <t xml:space="preserve">
</t>
    </r>
    <r>
      <rPr>
        <sz val="11"/>
        <color rgb="FF000000"/>
        <rFont val="Calibri"/>
      </rPr>
      <t>Note: This check must be run from each NSX-T Edge Node hosting the Tier-1 Gateway, as they are configured individually.</t>
    </r>
  </si>
  <si>
    <t>V-251764</t>
  </si>
  <si>
    <r>
      <rPr>
        <sz val="11"/>
        <rFont val="Calibri"/>
      </rPr>
      <t>The NSX-T Tier-1 Gateway Firewall must block outbound traffic containing denial-of-service (DoS) attacks to protect against the use of internal information systems to launch any DoS attacks against other networks or endpoints.</t>
    </r>
  </si>
  <si>
    <r>
      <rPr>
        <sz val="11"/>
        <color rgb="FF000000"/>
        <rFont val="Calibri"/>
      </rPr>
      <t>To create a new Flood Protection profile, do the following:</t>
    </r>
    <r>
      <rPr>
        <sz val="11"/>
        <color rgb="FF000000"/>
        <rFont val="Calibri"/>
      </rPr>
      <t xml:space="preserve">
</t>
    </r>
    <r>
      <rPr>
        <sz val="11"/>
        <color rgb="FF000000"/>
        <rFont val="Calibri"/>
      </rPr>
      <t>From the NSX-T Manager web interface, go to Security &gt;&gt; General Settings &gt;&gt; Firewall &gt;&gt; Flood Protection &gt;&gt; Add Profile &gt;&gt; Add Firewall Profile.</t>
    </r>
    <r>
      <rPr>
        <sz val="11"/>
        <color rgb="FF000000"/>
        <rFont val="Calibri"/>
      </rPr>
      <t xml:space="preserve">
</t>
    </r>
    <r>
      <rPr>
        <sz val="11"/>
        <color rgb="FF000000"/>
        <rFont val="Calibri"/>
      </rPr>
      <t>Enter a name and specify appropriate values for the following: TCP Half Open Connection limit, UDP Active Flow Limit, ICMP Active Flow Limit, and Other Active Connection Limit.</t>
    </r>
    <r>
      <rPr>
        <sz val="11"/>
        <color rgb="FF000000"/>
        <rFont val="Calibri"/>
      </rPr>
      <t xml:space="preserve">
</t>
    </r>
    <r>
      <rPr>
        <sz val="11"/>
        <color rgb="FF000000"/>
        <rFont val="Calibri"/>
      </rPr>
      <t>Configure the "Applied To" field to contain Tier-1 Gateways and then click "Save".</t>
    </r>
  </si>
  <si>
    <r>
      <rPr>
        <sz val="11"/>
        <color rgb="FF000000"/>
        <rFont val="Calibri"/>
      </rPr>
      <t>From the NSX-T Manager web interface, go to Security &gt;&gt; General Settings &gt;&gt; Firewall &gt;&gt; Flood Protection to view Flood Protection profiles.</t>
    </r>
    <r>
      <rPr>
        <sz val="11"/>
        <color rgb="FF000000"/>
        <rFont val="Calibri"/>
      </rPr>
      <t xml:space="preserve">
</t>
    </r>
    <r>
      <rPr>
        <sz val="11"/>
        <color rgb="FF000000"/>
        <rFont val="Calibri"/>
      </rPr>
      <t>If there are no Flood Protection profiles of type "Gateway", this is a finding.</t>
    </r>
    <r>
      <rPr>
        <sz val="11"/>
        <color rgb="FF000000"/>
        <rFont val="Calibri"/>
      </rPr>
      <t xml:space="preserve">
</t>
    </r>
    <r>
      <rPr>
        <sz val="11"/>
        <color rgb="FF000000"/>
        <rFont val="Calibri"/>
      </rPr>
      <t>For each gateway flood protection profile, verify the TCP Half Open Connection limit, UDP Active Flow Limit, ICMP Active Flow Limit, and Other Active Connection Limit are set to "None".</t>
    </r>
    <r>
      <rPr>
        <sz val="11"/>
        <color rgb="FF000000"/>
        <rFont val="Calibri"/>
      </rPr>
      <t xml:space="preserve">
</t>
    </r>
    <r>
      <rPr>
        <sz val="11"/>
        <color rgb="FF000000"/>
        <rFont val="Calibri"/>
      </rPr>
      <t>If they are not, this is a finding.</t>
    </r>
    <r>
      <rPr>
        <sz val="11"/>
        <color rgb="FF000000"/>
        <rFont val="Calibri"/>
      </rPr>
      <t xml:space="preserve">
</t>
    </r>
    <r>
      <rPr>
        <sz val="11"/>
        <color rgb="FF000000"/>
        <rFont val="Calibri"/>
      </rPr>
      <t>For each gateway flood protection profile, examine the "Applied To" field to view the Tier-1 Gateways to which it is applied.</t>
    </r>
    <r>
      <rPr>
        <sz val="11"/>
        <color rgb="FF000000"/>
        <rFont val="Calibri"/>
      </rPr>
      <t xml:space="preserve">
</t>
    </r>
    <r>
      <rPr>
        <sz val="11"/>
        <color rgb="FF000000"/>
        <rFont val="Calibri"/>
      </rPr>
      <t>If a gateway flood protection profile is not applied to all Tier-1 Gateways through one or more policies, this is a finding.</t>
    </r>
  </si>
  <si>
    <t>V-251765</t>
  </si>
  <si>
    <r>
      <rPr>
        <sz val="11"/>
        <color rgb="FF000000"/>
        <rFont val="Calibri"/>
      </rPr>
      <t>From the NSX-T Manager web interface, go to Security &gt;&gt; Gateway Firewall &gt;&gt; Gateway Specific Rules &gt;&gt; Choose each Tier-1 Gateway in drop-down &gt;&gt; Policy_Default_Infra Section &gt;&gt; Action &gt;&gt; change the Action to Drop or Reject and click Publish.</t>
    </r>
  </si>
  <si>
    <r>
      <rPr>
        <sz val="11"/>
        <color rgb="FF000000"/>
        <rFont val="Calibri"/>
      </rPr>
      <t xml:space="preserve">To prevent malicious or accidental leakage of traffic, organizations must implement a deny-by-default security posture at the network perimeter. Such rulesets prevent many malicious exploits or accidental leakage by restricting the traffic to only known sources and only those ports, protocols, or services that are permitted and operationally necessary. This configuration which is in the Manager function of the NSX-T implementation also helps prevent the firewall instance from failing to a state that may cause unauthorized access to make changes to the firewall filtering functions. </t>
    </r>
    <r>
      <rPr>
        <sz val="11"/>
        <color rgb="FF000000"/>
        <rFont val="Calibri"/>
      </rPr>
      <t xml:space="preserve">
</t>
    </r>
    <r>
      <rPr>
        <sz val="11"/>
        <color rgb="FF000000"/>
        <rFont val="Calibri"/>
      </rPr>
      <t>As a managed boundary interface, the firewall must block all inbound and outbound network traffic unless a filter is installed to explicitly allow it. The allow filters must comply with the Ports, Protocols, and Services Management (PPSM) Category Assurance List (CAL) and Vulnerability Assessment (VA).</t>
    </r>
    <r>
      <rPr>
        <sz val="11"/>
        <color rgb="FF000000"/>
        <rFont val="Calibri"/>
      </rPr>
      <t xml:space="preserve">
</t>
    </r>
    <r>
      <rPr>
        <sz val="11"/>
        <color rgb="FF000000"/>
        <rFont val="Calibri"/>
      </rPr>
      <t>Satisfies: SRG-NET-000235-FW-000133, SRG-NET-000236-FW-000027</t>
    </r>
  </si>
  <si>
    <r>
      <rPr>
        <sz val="11"/>
        <color rgb="FF000000"/>
        <rFont val="Calibri"/>
      </rPr>
      <t>From the NSX-T Manager web interface, go to Security &gt;&gt; Gateway Firewall &gt;&gt; Gateway Specific Rules &gt;&gt; Choose each Tier-1 Gateway in drop-down &gt;&gt; Policy_Default_Infra Section &gt;&gt; Action.</t>
    </r>
    <r>
      <rPr>
        <sz val="11"/>
        <color rgb="FF000000"/>
        <rFont val="Calibri"/>
      </rPr>
      <t xml:space="preserve">
</t>
    </r>
    <r>
      <rPr>
        <sz val="11"/>
        <color rgb="FF000000"/>
        <rFont val="Calibri"/>
      </rPr>
      <t>If the default_rule is set to Allow, this is a finding.</t>
    </r>
  </si>
  <si>
    <t>V-251766</t>
  </si>
  <si>
    <r>
      <rPr>
        <sz val="11"/>
        <rFont val="Calibri"/>
      </rPr>
      <t>The NSX-T Tier-1 Gateway Firewall must be configured to send traffic log entries to a central audit server for management and configuration of the traffic log entries.</t>
    </r>
  </si>
  <si>
    <r>
      <rPr>
        <sz val="11"/>
        <color rgb="FF000000"/>
        <rFont val="Calibri"/>
      </rPr>
      <t>(Optional) From an NSX-T Edge Gateway shell, run the following command(s) to clear any existing incorrect logging-servers:</t>
    </r>
    <r>
      <rPr>
        <sz val="11"/>
        <color rgb="FF000000"/>
        <rFont val="Calibri"/>
      </rPr>
      <t xml:space="preserve">
</t>
    </r>
    <r>
      <rPr>
        <sz val="11"/>
        <color rgb="FF000000"/>
        <rFont val="Calibri"/>
      </rPr>
      <t>&gt; clear logging-servers</t>
    </r>
    <r>
      <rPr>
        <sz val="11"/>
        <color rgb="FF000000"/>
        <rFont val="Calibri"/>
      </rPr>
      <t xml:space="preserve">
</t>
    </r>
    <r>
      <rPr>
        <sz val="11"/>
        <color rgb="FF000000"/>
        <rFont val="Calibri"/>
      </rPr>
      <t>From an NSX-T Edge Node shell, run the following command(s) to configure a tls syslog server:</t>
    </r>
    <r>
      <rPr>
        <sz val="11"/>
        <color rgb="FF000000"/>
        <rFont val="Calibri"/>
      </rPr>
      <t xml:space="preserve">
</t>
    </r>
    <r>
      <rPr>
        <sz val="11"/>
        <color rgb="FF000000"/>
        <rFont val="Calibri"/>
      </rPr>
      <t>&gt; set logging-server &lt;server-ip or server-name&gt; proto tls level info serverca ca.pem clientca ca.pem certificate cert.pem key key.pem</t>
    </r>
    <r>
      <rPr>
        <sz val="11"/>
        <color rgb="FF000000"/>
        <rFont val="Calibri"/>
      </rPr>
      <t xml:space="preserve">
</t>
    </r>
    <r>
      <rPr>
        <sz val="11"/>
        <color rgb="FF000000"/>
        <rFont val="Calibri"/>
      </rPr>
      <t>From an NSX-T Edge Node shell, run the following command(s) to configure a li-tls syslog server:</t>
    </r>
    <r>
      <rPr>
        <sz val="11"/>
        <color rgb="FF000000"/>
        <rFont val="Calibri"/>
      </rPr>
      <t xml:space="preserve">
</t>
    </r>
    <r>
      <rPr>
        <sz val="11"/>
        <color rgb="FF000000"/>
        <rFont val="Calibri"/>
      </rPr>
      <t>&gt; set logging-server &lt;server-ip or server-name&gt; proto li-tls level info serverca root-ca.crt</t>
    </r>
    <r>
      <rPr>
        <sz val="11"/>
        <color rgb="FF000000"/>
        <rFont val="Calibri"/>
      </rPr>
      <t xml:space="preserve">
</t>
    </r>
    <r>
      <rPr>
        <sz val="11"/>
        <color rgb="FF000000"/>
        <rFont val="Calibri"/>
      </rPr>
      <t>Note: Configure the syslog or SNMP server to send an alert if the events server is unable to receive events from the NSX-T and also if DoS incidents are detected. This is true if the events server is STIG compliant.</t>
    </r>
    <r>
      <rPr>
        <sz val="11"/>
        <color rgb="FF000000"/>
        <rFont val="Calibri"/>
      </rPr>
      <t xml:space="preserve">
</t>
    </r>
    <r>
      <rPr>
        <sz val="11"/>
        <color rgb="FF000000"/>
        <rFont val="Calibri"/>
      </rPr>
      <t>Note: If using the protocols TLS or LI-TLS to configure a secure connection to a log server, the server and client certificates must be stored in /var/vmware/nsx/file-store/ on each NSX-T Edge Gateway appliance.</t>
    </r>
  </si>
  <si>
    <r>
      <rPr>
        <sz val="11"/>
        <color rgb="FF000000"/>
        <rFont val="Calibri"/>
      </rPr>
      <t>Note: This check must be run from each NSX-T Edge Node hosting the Tier-1 Gateway, as they are configured individually.</t>
    </r>
    <r>
      <rPr>
        <sz val="11"/>
        <color rgb="FF000000"/>
        <rFont val="Calibri"/>
      </rPr>
      <t xml:space="preserve">
</t>
    </r>
    <r>
      <rPr>
        <sz val="11"/>
        <color rgb="FF000000"/>
        <rFont val="Calibri"/>
      </rPr>
      <t>From an NSX-T Edge Node shell hosting the Tier-1 Gateway, run the following command(s):</t>
    </r>
    <r>
      <rPr>
        <sz val="11"/>
        <color rgb="FF000000"/>
        <rFont val="Calibri"/>
      </rPr>
      <t xml:space="preserve">
</t>
    </r>
    <r>
      <rPr>
        <sz val="11"/>
        <color rgb="FF000000"/>
        <rFont val="Calibri"/>
      </rPr>
      <t>&gt; get logging-servers</t>
    </r>
    <r>
      <rPr>
        <sz val="11"/>
        <color rgb="FF000000"/>
        <rFont val="Calibri"/>
      </rPr>
      <t xml:space="preserve">
</t>
    </r>
    <r>
      <rPr>
        <sz val="11"/>
        <color rgb="FF000000"/>
        <rFont val="Calibri"/>
      </rPr>
      <t>If any configured logging-servers are not configured with protocol of "li-tls" or "tls" and level of "info", this is a finding.</t>
    </r>
    <r>
      <rPr>
        <sz val="11"/>
        <color rgb="FF000000"/>
        <rFont val="Calibri"/>
      </rPr>
      <t xml:space="preserve">
</t>
    </r>
    <r>
      <rPr>
        <sz val="11"/>
        <color rgb="FF000000"/>
        <rFont val="Calibri"/>
      </rPr>
      <t>If no logging-servers are configured, this is a finding.</t>
    </r>
  </si>
  <si>
    <t>V-251767</t>
  </si>
  <si>
    <r>
      <rPr>
        <sz val="11"/>
        <rFont val="Calibri"/>
      </rPr>
      <t>The NSX-T Tier-1 Gateway Firewall must employ filters that prevent or limit the effects of all types of commonly known denial-of-service (DoS) attacks, including flooding, packet sweeps, and unauthorized port scanning.</t>
    </r>
  </si>
  <si>
    <r>
      <rPr>
        <sz val="11"/>
        <color rgb="FF000000"/>
        <rFont val="Calibri"/>
      </rPr>
      <t>To create a new Flood Protection profile do the following:</t>
    </r>
    <r>
      <rPr>
        <sz val="11"/>
        <color rgb="FF000000"/>
        <rFont val="Calibri"/>
      </rPr>
      <t xml:space="preserve">
</t>
    </r>
    <r>
      <rPr>
        <sz val="11"/>
        <color rgb="FF000000"/>
        <rFont val="Calibri"/>
      </rPr>
      <t>From the NSX-T Manager web interface, go to Security &gt;&gt; Security Profiles &gt;&gt; Flood Protection &gt;&gt; Add Profile &gt;&gt; Add Firewall Profile.</t>
    </r>
    <r>
      <rPr>
        <sz val="11"/>
        <color rgb="FF000000"/>
        <rFont val="Calibri"/>
      </rPr>
      <t xml:space="preserve">
</t>
    </r>
    <r>
      <rPr>
        <sz val="11"/>
        <color rgb="FF000000"/>
        <rFont val="Calibri"/>
      </rPr>
      <t>Enter a name and specify appropriate values for the following: TCP Half Open Connection limit, UDP Active Flow Limit, ICMP Active Flow Limit, and Other Active Connection Limit.</t>
    </r>
    <r>
      <rPr>
        <sz val="11"/>
        <color rgb="FF000000"/>
        <rFont val="Calibri"/>
      </rPr>
      <t xml:space="preserve">
</t>
    </r>
    <r>
      <rPr>
        <sz val="11"/>
        <color rgb="FF000000"/>
        <rFont val="Calibri"/>
      </rPr>
      <t>Enable SYN Cache and RST Spoofing, configure the Applied To field that contains Tier-1 Gateways, and then click "Save".</t>
    </r>
  </si>
  <si>
    <r>
      <rPr>
        <sz val="11"/>
        <color rgb="FF000000"/>
        <rFont val="Calibri"/>
      </rPr>
      <t>Not configuring a key boundary security protection device such as the firewall, against commonly known attacks is an immediate threat to the protected enclave because they are easily implemented by those with little skill. Directions for the attack are obtainable on the internet and in hacker groups. Without filtering enabled for these attacks, the firewall will allow these attacks beyond the protected boundary.</t>
    </r>
    <r>
      <rPr>
        <sz val="11"/>
        <color rgb="FF000000"/>
        <rFont val="Calibri"/>
      </rPr>
      <t xml:space="preserve">
</t>
    </r>
    <r>
      <rPr>
        <sz val="11"/>
        <color rgb="FF000000"/>
        <rFont val="Calibri"/>
      </rPr>
      <t>Configure the perimeter and internal boundary firewall to guard against the three general methods of well-known DoS attacks: flooding attacks, protocol sweeping attacks, and unauthorized port scanning.</t>
    </r>
    <r>
      <rPr>
        <sz val="11"/>
        <color rgb="FF000000"/>
        <rFont val="Calibri"/>
      </rPr>
      <t xml:space="preserve">
</t>
    </r>
    <r>
      <rPr>
        <sz val="11"/>
        <color rgb="FF000000"/>
        <rFont val="Calibri"/>
      </rPr>
      <t>Flood attacks occur when the host receives too much traffic to buffer and slows down or crashes. Popular flood attacks include ICMP flood and SYN flood. A TCP flood attack of SYN packets initiating connection requests can overwhelm the device until it can no longer process legitimate connection requests, resulting in denial of service. An ICMP flood can overload the device with so many echo requests (ping requests) that it expends all its resources responding and can no longer process valid network traffic, also resulting in denial of service. An attacker might use session table floods and SYN-ACK-ACK proxy floods to fill up the session table of a host.</t>
    </r>
    <r>
      <rPr>
        <sz val="11"/>
        <color rgb="FF000000"/>
        <rFont val="Calibri"/>
      </rPr>
      <t xml:space="preserve">
</t>
    </r>
    <r>
      <rPr>
        <sz val="11"/>
        <color rgb="FF000000"/>
        <rFont val="Calibri"/>
      </rPr>
      <t>In an IP address sweep attack, an attacker sends ICMP echo requests (pings) to multiple destination addresses. If a target host replies, the reply reveals the target’s IP address to the attacker. In a TCP sweep attack, an attacker sends TCP SYN packets to the target device as part of the TCP handshake. If the device responds to those packets, the attacker gets an indication that a port in the target device is open, which makes the port vulnerable to attack. In a UDP sweep attack, an attacker sends UDP packets to the target device. If the device responds to those packets, the attacker gets an indication that a port in the target device is open, which makes the port vulnerable to attack.</t>
    </r>
    <r>
      <rPr>
        <sz val="11"/>
        <color rgb="FF000000"/>
        <rFont val="Calibri"/>
      </rPr>
      <t xml:space="preserve">
</t>
    </r>
    <r>
      <rPr>
        <sz val="11"/>
        <color rgb="FF000000"/>
        <rFont val="Calibri"/>
      </rPr>
      <t>In a port scanning attack, an unauthorized application is used to scan the host devices for available services and open ports for subsequent use in an attack. This type of scanning can be used as a DoS attack when the probing packets are sent excessively.</t>
    </r>
  </si>
  <si>
    <r>
      <rPr>
        <sz val="11"/>
        <color rgb="FF000000"/>
        <rFont val="Calibri"/>
      </rPr>
      <t>From the NSX-T Manager web interface, go to Security &gt;&gt; Security Profiles &gt;&gt; Flood Protection to view Flood Protection profiles.</t>
    </r>
    <r>
      <rPr>
        <sz val="11"/>
        <color rgb="FF000000"/>
        <rFont val="Calibri"/>
      </rPr>
      <t xml:space="preserve">
</t>
    </r>
    <r>
      <rPr>
        <sz val="11"/>
        <color rgb="FF000000"/>
        <rFont val="Calibri"/>
      </rPr>
      <t>If there are no Flood Protection profiles of type "Gateway", this is a finding.</t>
    </r>
    <r>
      <rPr>
        <sz val="11"/>
        <color rgb="FF000000"/>
        <rFont val="Calibri"/>
      </rPr>
      <t xml:space="preserve">
</t>
    </r>
    <r>
      <rPr>
        <sz val="11"/>
        <color rgb="FF000000"/>
        <rFont val="Calibri"/>
      </rPr>
      <t>For each gateway flood protection profile, verify the TCP Half Open Connection limit, UDP Active Flow Limit, ICMP Active Flow Limit, and Other Active Connection Limit are set to "not set" or SYN Cache and RST Spoofing is not Enabled on a profile, this is a finding.</t>
    </r>
    <r>
      <rPr>
        <sz val="11"/>
        <color rgb="FF000000"/>
        <rFont val="Calibri"/>
      </rPr>
      <t xml:space="preserve">
</t>
    </r>
    <r>
      <rPr>
        <sz val="11"/>
        <color rgb="FF000000"/>
        <rFont val="Calibri"/>
      </rPr>
      <t>For each gateway flood protection profile, examine the Applied To field to view the Tier-1 Gateways to which it is applied.</t>
    </r>
    <r>
      <rPr>
        <sz val="11"/>
        <color rgb="FF000000"/>
        <rFont val="Calibri"/>
      </rPr>
      <t xml:space="preserve">
</t>
    </r>
    <r>
      <rPr>
        <sz val="11"/>
        <color rgb="FF000000"/>
        <rFont val="Calibri"/>
      </rPr>
      <t>If a gateway flood protection profile is not applied to all Tier-1 Gateways through one or more policies, this is a finding.</t>
    </r>
  </si>
  <si>
    <t>V-251768</t>
  </si>
  <si>
    <r>
      <rPr>
        <sz val="11"/>
        <rFont val="Calibri"/>
      </rPr>
      <t>The NSX-T Tier-1 Gateway Firewall must apply ingress filters to traffic that is inbound to the network through any active external interface.</t>
    </r>
  </si>
  <si>
    <r>
      <rPr>
        <sz val="11"/>
        <color rgb="FF000000"/>
        <rFont val="Calibri"/>
      </rPr>
      <t>From the NSX-T Manager web interface, go to Security &gt;&gt; Gateway Firewall &gt;&gt; Gateway Specific Rules and choose the target Tier-1 Gateway from the drop-down.</t>
    </r>
    <r>
      <rPr>
        <sz val="11"/>
        <color rgb="FF000000"/>
        <rFont val="Calibri"/>
      </rPr>
      <t xml:space="preserve">
</t>
    </r>
    <r>
      <rPr>
        <sz val="11"/>
        <color rgb="FF000000"/>
        <rFont val="Calibri"/>
      </rPr>
      <t>For any rules that have individual interfaces specified in the "Applied To" field, click "Edit" on the "Applied To" column and remove the interfaces selected, leaving only the Tier-1 Gateway object type checked.</t>
    </r>
    <r>
      <rPr>
        <sz val="11"/>
        <color rgb="FF000000"/>
        <rFont val="Calibri"/>
      </rPr>
      <t xml:space="preserve">
</t>
    </r>
    <r>
      <rPr>
        <sz val="11"/>
        <color rgb="FF000000"/>
        <rFont val="Calibri"/>
      </rPr>
      <t>Click "Publish" to save any rule changes.</t>
    </r>
  </si>
  <si>
    <r>
      <rPr>
        <sz val="11"/>
        <color rgb="FF000000"/>
        <rFont val="Calibri"/>
      </rPr>
      <t>Unrestricted traffic to the trusted networks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Firewall filters control the flow of network traffic and ensure the flow of traffic is only allowed from authorized sources to authorized destinations. Networks with different levels of trust (e.g., the internet) must be kept separated.</t>
    </r>
  </si>
  <si>
    <r>
      <rPr>
        <sz val="11"/>
        <color rgb="FF000000"/>
        <rFont val="Calibri"/>
      </rPr>
      <t>From the NSX-T Manager web interface, go to Security &gt;&gt; Gateway Firewall &gt;&gt; Gateway Specific Rules. Choose each Tier-1 Gateway in the drop-down and review the firewall rules "Applied To" field to verify no rules are selectively applied to interfaces instead of the Gateway Firewall entity.</t>
    </r>
    <r>
      <rPr>
        <sz val="11"/>
        <color rgb="FF000000"/>
        <rFont val="Calibri"/>
      </rPr>
      <t xml:space="preserve">
</t>
    </r>
    <r>
      <rPr>
        <sz val="11"/>
        <color rgb="FF000000"/>
        <rFont val="Calibri"/>
      </rPr>
      <t>If any Gateway Firewall rules are applied to individual interfaces, this is a finding.</t>
    </r>
  </si>
  <si>
    <t>V-251769</t>
  </si>
  <si>
    <r>
      <rPr>
        <sz val="11"/>
        <rFont val="Calibri"/>
      </rPr>
      <t>The NSX-T Tier-1 Gateway Firewall must configure SpoofGuard to block outbound IP packets that contain illegitimate packet attributes.</t>
    </r>
  </si>
  <si>
    <r>
      <rPr>
        <sz val="11"/>
        <color rgb="FF000000"/>
        <rFont val="Calibri"/>
      </rPr>
      <t>To create a segment profile with SpoofGuard enabled do the following:</t>
    </r>
    <r>
      <rPr>
        <sz val="11"/>
        <color rgb="FF000000"/>
        <rFont val="Calibri"/>
      </rPr>
      <t xml:space="preserve">
</t>
    </r>
    <r>
      <rPr>
        <sz val="11"/>
        <color rgb="FF000000"/>
        <rFont val="Calibri"/>
      </rPr>
      <t>From the NSX-T Manager web interface, go to Networking &gt;&gt; Segments &gt;&gt; Segment Profiles &gt;&gt; Add Segment Profile &gt;&gt; SpoofGuard.</t>
    </r>
    <r>
      <rPr>
        <sz val="11"/>
        <color rgb="FF000000"/>
        <rFont val="Calibri"/>
      </rPr>
      <t xml:space="preserve">
</t>
    </r>
    <r>
      <rPr>
        <sz val="11"/>
        <color rgb="FF000000"/>
        <rFont val="Calibri"/>
      </rPr>
      <t>Enter a profile name and enable port bindings, then click "Save".</t>
    </r>
    <r>
      <rPr>
        <sz val="11"/>
        <color rgb="FF000000"/>
        <rFont val="Calibri"/>
      </rPr>
      <t xml:space="preserve">
</t>
    </r>
    <r>
      <rPr>
        <sz val="11"/>
        <color rgb="FF000000"/>
        <rFont val="Calibri"/>
      </rPr>
      <t>To update a Segment's SpoofGuard profile, do the following:</t>
    </r>
    <r>
      <rPr>
        <sz val="11"/>
        <color rgb="FF000000"/>
        <rFont val="Calibri"/>
      </rPr>
      <t xml:space="preserve">
</t>
    </r>
    <r>
      <rPr>
        <sz val="11"/>
        <color rgb="FF000000"/>
        <rFont val="Calibri"/>
      </rPr>
      <t>From the NSX-T Manager web interface, go to the Networking &gt;&gt; Segments, then click "Edit" from the drop-down menu next to the target Segment.</t>
    </r>
    <r>
      <rPr>
        <sz val="11"/>
        <color rgb="FF000000"/>
        <rFont val="Calibri"/>
      </rPr>
      <t xml:space="preserve">
</t>
    </r>
    <r>
      <rPr>
        <sz val="11"/>
        <color rgb="FF000000"/>
        <rFont val="Calibri"/>
      </rPr>
      <t>Expand Segment Profiles, choose the new SpoofGuard profile from the drop-down list, and then click "Save".</t>
    </r>
  </si>
  <si>
    <t>V-251770</t>
  </si>
  <si>
    <r>
      <rPr>
        <sz val="11"/>
        <rFont val="Calibri"/>
      </rPr>
      <t>The NSX-T Tier-1 Gateway must be configured to have all inactive interfaces removed.</t>
    </r>
  </si>
  <si>
    <t>Tier 1 Gateway RTR</t>
  </si>
  <si>
    <r>
      <rPr>
        <sz val="11"/>
        <color rgb="FF000000"/>
        <rFont val="Calibri"/>
      </rPr>
      <t>To remove a stale linked segment from a Tier-1 Gateway, do the following:</t>
    </r>
    <r>
      <rPr>
        <sz val="11"/>
        <color rgb="FF000000"/>
        <rFont val="Calibri"/>
      </rPr>
      <t xml:space="preserve">
</t>
    </r>
    <r>
      <rPr>
        <sz val="11"/>
        <color rgb="FF000000"/>
        <rFont val="Calibri"/>
      </rPr>
      <t>From the NSX-T Manager web interface, go to Networking &gt;&gt; Segments and edit the target segment.</t>
    </r>
    <r>
      <rPr>
        <sz val="11"/>
        <color rgb="FF000000"/>
        <rFont val="Calibri"/>
      </rPr>
      <t xml:space="preserve">
</t>
    </r>
    <r>
      <rPr>
        <sz val="11"/>
        <color rgb="FF000000"/>
        <rFont val="Calibri"/>
      </rPr>
      <t>Under Connected Gateway, change to "None" and click "Save".</t>
    </r>
    <r>
      <rPr>
        <sz val="11"/>
        <color rgb="FF000000"/>
        <rFont val="Calibri"/>
      </rPr>
      <t xml:space="preserve">
</t>
    </r>
    <r>
      <rPr>
        <sz val="11"/>
        <color rgb="FF000000"/>
        <rFont val="Calibri"/>
      </rPr>
      <t>Note: The stale linked segment can also be deleted if there are no active workloads attached to it.</t>
    </r>
    <r>
      <rPr>
        <sz val="11"/>
        <color rgb="FF000000"/>
        <rFont val="Calibri"/>
      </rPr>
      <t xml:space="preserve">
</t>
    </r>
    <r>
      <rPr>
        <sz val="11"/>
        <color rgb="FF000000"/>
        <rFont val="Calibri"/>
      </rPr>
      <t>To remove a stale service interface from a Tier-1 Gateway, do the following:</t>
    </r>
    <r>
      <rPr>
        <sz val="11"/>
        <color rgb="FF000000"/>
        <rFont val="Calibri"/>
      </rPr>
      <t xml:space="preserve">
</t>
    </r>
    <r>
      <rPr>
        <sz val="11"/>
        <color rgb="FF000000"/>
        <rFont val="Calibri"/>
      </rPr>
      <t>From the NSX-T Manager web interface, go to Networking &gt;&gt; Tier-1 Gateways &gt;&gt; Edit the target Tier-1 Gateway.</t>
    </r>
    <r>
      <rPr>
        <sz val="11"/>
        <color rgb="FF000000"/>
        <rFont val="Calibri"/>
      </rPr>
      <t xml:space="preserve">
</t>
    </r>
    <r>
      <rPr>
        <sz val="11"/>
        <color rgb="FF000000"/>
        <rFont val="Calibri"/>
      </rPr>
      <t>Expand Service Interfaces &gt;&gt; click on the number to view the Service Interfaces.</t>
    </r>
    <r>
      <rPr>
        <sz val="11"/>
        <color rgb="FF000000"/>
        <rFont val="Calibri"/>
      </rPr>
      <t xml:space="preserve">
</t>
    </r>
    <r>
      <rPr>
        <sz val="11"/>
        <color rgb="FF000000"/>
        <rFont val="Calibri"/>
      </rPr>
      <t>On the stale service interface, select "Delete" and click "Delete" again to confirm.</t>
    </r>
  </si>
  <si>
    <r>
      <rPr>
        <sz val="11"/>
        <color rgb="FF000000"/>
        <rFont val="Calibri"/>
      </rPr>
      <t>From the NSX-T Manager web interface, go to Networking &gt;&gt; Tier-1 Gateways.</t>
    </r>
    <r>
      <rPr>
        <sz val="11"/>
        <color rgb="FF000000"/>
        <rFont val="Calibri"/>
      </rPr>
      <t xml:space="preserve">
</t>
    </r>
    <r>
      <rPr>
        <sz val="11"/>
        <color rgb="FF000000"/>
        <rFont val="Calibri"/>
      </rPr>
      <t>For every Tier-1 Gateway, expand the Tier-1 Gateway. Click on the number in the Linked Segments to review the currently linked segments.</t>
    </r>
    <r>
      <rPr>
        <sz val="11"/>
        <color rgb="FF000000"/>
        <rFont val="Calibri"/>
      </rPr>
      <t xml:space="preserve">
</t>
    </r>
    <r>
      <rPr>
        <sz val="11"/>
        <color rgb="FF000000"/>
        <rFont val="Calibri"/>
      </rPr>
      <t>For every Tier-1 Gateway, expand the Tier-1 Gateway. Expand Service Interfaces, then click on the number to review the Service Interfaces.</t>
    </r>
    <r>
      <rPr>
        <sz val="11"/>
        <color rgb="FF000000"/>
        <rFont val="Calibri"/>
      </rPr>
      <t xml:space="preserve">
</t>
    </r>
    <r>
      <rPr>
        <sz val="11"/>
        <color rgb="FF000000"/>
        <rFont val="Calibri"/>
      </rPr>
      <t>Review each interface or linked segment present to determine if they are not in use or inactive.</t>
    </r>
    <r>
      <rPr>
        <sz val="11"/>
        <color rgb="FF000000"/>
        <rFont val="Calibri"/>
      </rPr>
      <t xml:space="preserve">
</t>
    </r>
    <r>
      <rPr>
        <sz val="11"/>
        <color rgb="FF000000"/>
        <rFont val="Calibri"/>
      </rPr>
      <t>If there are any linked segments or service interfaces present on a Tier-1 Gateway that are not in use or inactive, this is a finding.</t>
    </r>
  </si>
  <si>
    <t>V-251771</t>
  </si>
  <si>
    <r>
      <rPr>
        <sz val="11"/>
        <rFont val="Calibri"/>
      </rPr>
      <t>The NSX-T Tier-1 Gateway must be configured to have the DHCP service disabled if not in use.</t>
    </r>
  </si>
  <si>
    <r>
      <rPr>
        <sz val="11"/>
        <color rgb="FF000000"/>
        <rFont val="Calibri"/>
      </rPr>
      <t>From the NSX-T Manager web interface, go to Networking &gt;&gt; Tier-1 Gateways and edit the target Tier-1 Gateway.</t>
    </r>
    <r>
      <rPr>
        <sz val="11"/>
        <color rgb="FF000000"/>
        <rFont val="Calibri"/>
      </rPr>
      <t xml:space="preserve">
</t>
    </r>
    <r>
      <rPr>
        <sz val="11"/>
        <color rgb="FF000000"/>
        <rFont val="Calibri"/>
      </rPr>
      <t>Click "Set DHCP Configuration", select "No Dynamic IP Address Allocation", click "Save", and then close "Editing".</t>
    </r>
  </si>
  <si>
    <r>
      <rPr>
        <sz val="11"/>
        <color rgb="FF000000"/>
        <rFont val="Calibri"/>
      </rPr>
      <t>A compromised router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router is to enable only the capabilities required for operation.</t>
    </r>
  </si>
  <si>
    <r>
      <rPr>
        <sz val="11"/>
        <color rgb="FF000000"/>
        <rFont val="Calibri"/>
      </rPr>
      <t>From the NSX-T Manager web interface, go to Networking &gt;&gt; Tier-1 Gateways.</t>
    </r>
    <r>
      <rPr>
        <sz val="11"/>
        <color rgb="FF000000"/>
        <rFont val="Calibri"/>
      </rPr>
      <t xml:space="preserve">
</t>
    </r>
    <r>
      <rPr>
        <sz val="11"/>
        <color rgb="FF000000"/>
        <rFont val="Calibri"/>
      </rPr>
      <t>For every Tier-1 Gateway expand the Tier-1 Gateway to view the DHCP configuration.</t>
    </r>
    <r>
      <rPr>
        <sz val="11"/>
        <color rgb="FF000000"/>
        <rFont val="Calibri"/>
      </rPr>
      <t xml:space="preserve">
</t>
    </r>
    <r>
      <rPr>
        <sz val="11"/>
        <color rgb="FF000000"/>
        <rFont val="Calibri"/>
      </rPr>
      <t>If a DHCP profile is configured and not in use, this is a finding.</t>
    </r>
  </si>
  <si>
    <t>V-251772</t>
  </si>
  <si>
    <r>
      <rPr>
        <sz val="11"/>
        <rFont val="Calibri"/>
      </rPr>
      <t>The NSX-T Tier-1 Gateway must be configured to enforce a Quality-of-Service (QoS) policy to limit the effects of packet flooding denial-of-service (DoS) attacks.</t>
    </r>
  </si>
  <si>
    <r>
      <rPr>
        <sz val="11"/>
        <color rgb="FF000000"/>
        <rFont val="Calibri"/>
      </rPr>
      <t>To create a segment QoS profile, do the following:</t>
    </r>
    <r>
      <rPr>
        <sz val="11"/>
        <color rgb="FF000000"/>
        <rFont val="Calibri"/>
      </rPr>
      <t xml:space="preserve">
</t>
    </r>
    <r>
      <rPr>
        <sz val="11"/>
        <color rgb="FF000000"/>
        <rFont val="Calibri"/>
      </rPr>
      <t>From the NSX-T Manager web interface, go to Networking &gt;&gt; Segments &gt;&gt; Segment Profiles.</t>
    </r>
    <r>
      <rPr>
        <sz val="11"/>
        <color rgb="FF000000"/>
        <rFont val="Calibri"/>
      </rPr>
      <t xml:space="preserve">
</t>
    </r>
    <r>
      <rPr>
        <sz val="11"/>
        <color rgb="FF000000"/>
        <rFont val="Calibri"/>
      </rPr>
      <t>Click "Add Segment Profile" and select "QoS".</t>
    </r>
    <r>
      <rPr>
        <sz val="11"/>
        <color rgb="FF000000"/>
        <rFont val="Calibri"/>
      </rPr>
      <t xml:space="preserve">
</t>
    </r>
    <r>
      <rPr>
        <sz val="11"/>
        <color rgb="FF000000"/>
        <rFont val="Calibri"/>
      </rPr>
      <t>Configure a profile name and QoS settings as needed and click "Save".</t>
    </r>
    <r>
      <rPr>
        <sz val="11"/>
        <color rgb="FF000000"/>
        <rFont val="Calibri"/>
      </rPr>
      <t xml:space="preserve">
</t>
    </r>
    <r>
      <rPr>
        <sz val="11"/>
        <color rgb="FF000000"/>
        <rFont val="Calibri"/>
      </rPr>
      <t>To apply a QoS profile to a segment do the following:</t>
    </r>
    <r>
      <rPr>
        <sz val="11"/>
        <color rgb="FF000000"/>
        <rFont val="Calibri"/>
      </rPr>
      <t xml:space="preserve">
</t>
    </r>
    <r>
      <rPr>
        <sz val="11"/>
        <color rgb="FF000000"/>
        <rFont val="Calibri"/>
      </rPr>
      <t>From the NSX-T Manager web interface, go to Networking &gt;&gt; Segments and edit the target segment.</t>
    </r>
    <r>
      <rPr>
        <sz val="11"/>
        <color rgb="FF000000"/>
        <rFont val="Calibri"/>
      </rPr>
      <t xml:space="preserve">
</t>
    </r>
    <r>
      <rPr>
        <sz val="11"/>
        <color rgb="FF000000"/>
        <rFont val="Calibri"/>
      </rPr>
      <t>Expand Segment Profiles and under QoS select the profile previously created and "Save".</t>
    </r>
  </si>
  <si>
    <r>
      <rPr>
        <sz val="11"/>
        <color rgb="FF000000"/>
        <rFont val="Calibri"/>
      </rPr>
      <t xml:space="preserve">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</si>
  <si>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From the NSX-T Manager web interface, go to Networking &gt;&gt; Segments.</t>
    </r>
    <r>
      <rPr>
        <sz val="11"/>
        <color rgb="FF000000"/>
        <rFont val="Calibri"/>
      </rPr>
      <t xml:space="preserve">
</t>
    </r>
    <r>
      <rPr>
        <sz val="11"/>
        <color rgb="FF000000"/>
        <rFont val="Calibri"/>
      </rPr>
      <t>For every Segment connected to a Tier-1 Gateway, Expand Segment &gt;&gt; Expand Segment Profiles &gt;&gt; Record QOS Segment Profile.</t>
    </r>
    <r>
      <rPr>
        <sz val="11"/>
        <color rgb="FF000000"/>
        <rFont val="Calibri"/>
      </rPr>
      <t xml:space="preserve">
</t>
    </r>
    <r>
      <rPr>
        <sz val="11"/>
        <color rgb="FF000000"/>
        <rFont val="Calibri"/>
      </rPr>
      <t>Go to Segment Profiles &gt;&gt; Expand QOS Segment Profile recorded in previous steps.</t>
    </r>
    <r>
      <rPr>
        <sz val="11"/>
        <color rgb="FF000000"/>
        <rFont val="Calibri"/>
      </rPr>
      <t xml:space="preserve">
</t>
    </r>
    <r>
      <rPr>
        <sz val="11"/>
        <color rgb="FF000000"/>
        <rFont val="Calibri"/>
      </rPr>
      <t>If there are traffic priorities specified by the Combatant Commands/Services/Agencies needed to ensure sufficient capacity for mission-critical traffic and none are configured, this is a finding.</t>
    </r>
  </si>
  <si>
    <t>V-251773</t>
  </si>
  <si>
    <r>
      <rPr>
        <sz val="11"/>
        <rFont val="Calibri"/>
      </rPr>
      <t>The NSX-T Tier-1 Gateway must be configured to have multicast disabled if not in use.</t>
    </r>
  </si>
  <si>
    <r>
      <rPr>
        <sz val="11"/>
        <color rgb="FF000000"/>
        <rFont val="Calibri"/>
      </rPr>
      <t>To disable Multicast do the following:</t>
    </r>
    <r>
      <rPr>
        <sz val="11"/>
        <color rgb="FF000000"/>
        <rFont val="Calibri"/>
      </rPr>
      <t xml:space="preserve">
</t>
    </r>
    <r>
      <rPr>
        <sz val="11"/>
        <color rgb="FF000000"/>
        <rFont val="Calibri"/>
      </rPr>
      <t>From the NSX-T Manager web interface, go to Networking &gt;&gt; Tier-1 Gateways and edit the target Tier-1 Gateway.</t>
    </r>
    <r>
      <rPr>
        <sz val="11"/>
        <color rgb="FF000000"/>
        <rFont val="Calibri"/>
      </rPr>
      <t xml:space="preserve">
</t>
    </r>
    <r>
      <rPr>
        <sz val="11"/>
        <color rgb="FF000000"/>
        <rFont val="Calibri"/>
      </rPr>
      <t>Expand Multicast and change from "Enabled" to "Disabled" and then click "Save".</t>
    </r>
  </si>
  <si>
    <r>
      <rPr>
        <sz val="11"/>
        <color rgb="FF000000"/>
        <rFont val="Calibri"/>
      </rPr>
      <t>From the NSX-T Manager web interface, go to Networking &gt;&gt; Tier-1 Gateways.</t>
    </r>
    <r>
      <rPr>
        <sz val="11"/>
        <color rgb="FF000000"/>
        <rFont val="Calibri"/>
      </rPr>
      <t xml:space="preserve">
</t>
    </r>
    <r>
      <rPr>
        <sz val="11"/>
        <color rgb="FF000000"/>
        <rFont val="Calibri"/>
      </rPr>
      <t>For every Tier-1 Gateway, expand the Tier-1 Gateway then expand Multicast to view the Multicast configuration.</t>
    </r>
    <r>
      <rPr>
        <sz val="11"/>
        <color rgb="FF000000"/>
        <rFont val="Calibri"/>
      </rPr>
      <t xml:space="preserve">
</t>
    </r>
    <r>
      <rPr>
        <sz val="11"/>
        <color rgb="FF000000"/>
        <rFont val="Calibri"/>
      </rPr>
      <t>If Multicast is enabled and not in use, this is a finding.</t>
    </r>
  </si>
  <si>
    <t>V-251778</t>
  </si>
  <si>
    <r>
      <rPr>
        <sz val="11"/>
        <rFont val="Calibri"/>
      </rPr>
      <t>NSX-T Manager must restrict the use of configuration, administration, and the execution of privileged commands to authorized personnel based on organization-defined roles.</t>
    </r>
  </si>
  <si>
    <t>Manager NDM</t>
  </si>
  <si>
    <r>
      <rPr>
        <sz val="11"/>
        <color rgb="FF000000"/>
        <rFont val="Calibri"/>
      </rPr>
      <t>View the SSP to determine the required organization-defined roles and the least privilege policies required for each role. For example, audit administrator, crypto administrator, system administrator, etc. Assign users to roles based on SSP and least privileges. Carefully assign capabilities to each role based on SSP role assignments. To create a new role with reduced permissions, do the following:</t>
    </r>
    <r>
      <rPr>
        <sz val="11"/>
        <color rgb="FF000000"/>
        <rFont val="Calibri"/>
      </rPr>
      <t xml:space="preserve">
</t>
    </r>
    <r>
      <rPr>
        <sz val="11"/>
        <color rgb="FF000000"/>
        <rFont val="Calibri"/>
      </rPr>
      <t>From the NSX-T Manager web interface, go to System &gt;&gt; Users and Roles &gt;&gt; Roles. Click "Add Role", provide a name and the required permissions, and then click "Save".</t>
    </r>
    <r>
      <rPr>
        <sz val="11"/>
        <color rgb="FF000000"/>
        <rFont val="Calibri"/>
      </rPr>
      <t xml:space="preserve">
</t>
    </r>
    <r>
      <rPr>
        <sz val="11"/>
        <color rgb="FF000000"/>
        <rFont val="Calibri"/>
      </rPr>
      <t>To update user or group permissions to an existing role with reduced permissions, do the following:</t>
    </r>
    <r>
      <rPr>
        <sz val="11"/>
        <color rgb="FF000000"/>
        <rFont val="Calibri"/>
      </rPr>
      <t xml:space="preserve">
</t>
    </r>
    <r>
      <rPr>
        <sz val="11"/>
        <color rgb="FF000000"/>
        <rFont val="Calibri"/>
      </rPr>
      <t>From the NSX-T Manager web interface, go to System &gt;&gt; Users and Roles &gt;&gt; User Role Assignment. Click the menu dropdown next to the target user or group and select "Edit". Remove the existing role, select the new one, and then click "Save".</t>
    </r>
  </si>
  <si>
    <r>
      <rPr>
        <sz val="11"/>
        <color rgb="FF000000"/>
        <rFont val="Calibri"/>
      </rPr>
      <t xml:space="preserve">To mitigate the risk of unauthorized access, privileged access must not automatically give an entity access to an asset or security boundary. Authorization procedures and controls must be implemented to ensure each authenticated entity also has a validated and current authorization.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
    </r>
    <r>
      <rPr>
        <sz val="11"/>
        <color rgb="FF000000"/>
        <rFont val="Calibri"/>
      </rPr>
      <t xml:space="preserve">
</t>
    </r>
    <r>
      <rPr>
        <sz val="11"/>
        <color rgb="FF000000"/>
        <rFont val="Calibri"/>
      </rPr>
      <t>Controls for this requirement include prevention of non-privileged users from executing privileged functions to include disabling, circumventing, or altering implemented security safeguards/countermeasures; enforcing the use of organization-defined role-based access control policies over defined subjects and objects; and restricting access associated with changes to the system components.</t>
    </r>
    <r>
      <rPr>
        <sz val="11"/>
        <color rgb="FF000000"/>
        <rFont val="Calibri"/>
      </rPr>
      <t xml:space="preserve">
</t>
    </r>
    <r>
      <rPr>
        <sz val="11"/>
        <color rgb="FF000000"/>
        <rFont val="Calibri"/>
      </rPr>
      <t>Satisfies: SRG-APP-000033-NDM-000212, SRG-APP-000340-NDM-000288, SRG-APP-000329-NDM-000287, SRG-APP-000340-NDM-000288</t>
    </r>
  </si>
  <si>
    <r>
      <rPr>
        <sz val="11"/>
        <color rgb="FF000000"/>
        <rFont val="Calibri"/>
      </rPr>
      <t>From the NSX-T Manager web interface, go to System &gt;&gt; Users and Roles &gt;&gt; User Role Assignment.</t>
    </r>
    <r>
      <rPr>
        <sz val="11"/>
        <color rgb="FF000000"/>
        <rFont val="Calibri"/>
      </rPr>
      <t xml:space="preserve">
</t>
    </r>
    <r>
      <rPr>
        <sz val="11"/>
        <color rgb="FF000000"/>
        <rFont val="Calibri"/>
      </rPr>
      <t>View each user and group and verify the role assigned to it.</t>
    </r>
    <r>
      <rPr>
        <sz val="11"/>
        <color rgb="FF000000"/>
        <rFont val="Calibri"/>
      </rPr>
      <t xml:space="preserve">
</t>
    </r>
    <r>
      <rPr>
        <sz val="11"/>
        <color rgb="FF000000"/>
        <rFont val="Calibri"/>
      </rPr>
      <t>Application service account and user required privileges must be documented.</t>
    </r>
    <r>
      <rPr>
        <sz val="11"/>
        <color rgb="FF000000"/>
        <rFont val="Calibri"/>
      </rPr>
      <t xml:space="preserve">
</t>
    </r>
    <r>
      <rPr>
        <sz val="11"/>
        <color rgb="FF000000"/>
        <rFont val="Calibri"/>
      </rPr>
      <t>If any user/group or service account are assigned to roles with privileges that are beyond those assigned by the SSP, this is a finding.</t>
    </r>
  </si>
  <si>
    <t>V-251779</t>
  </si>
  <si>
    <r>
      <rPr>
        <sz val="11"/>
        <rFont val="Calibri"/>
      </rPr>
      <t>The NSX-T Manager must be configured to enforce the limit of three consecutive invalid logon attempts, after which time it must block any login attempt for 15 minutes.</t>
    </r>
  </si>
  <si>
    <r>
      <rPr>
        <sz val="11"/>
        <color rgb="FF000000"/>
        <rFont val="Calibri"/>
      </rPr>
      <t>From an NSX-T Manager shell, run the following command(s):</t>
    </r>
    <r>
      <rPr>
        <sz val="11"/>
        <color rgb="FF000000"/>
        <rFont val="Calibri"/>
      </rPr>
      <t xml:space="preserve">
</t>
    </r>
    <r>
      <rPr>
        <sz val="11"/>
        <color rgb="FF000000"/>
        <rFont val="Calibri"/>
      </rPr>
      <t>&gt; set auth-policy api lockout-reset-period 900</t>
    </r>
    <r>
      <rPr>
        <sz val="11"/>
        <color rgb="FF000000"/>
        <rFont val="Calibri"/>
      </rPr>
      <t xml:space="preserve">
</t>
    </r>
    <r>
      <rPr>
        <sz val="11"/>
        <color rgb="FF000000"/>
        <rFont val="Calibri"/>
      </rPr>
      <t>&gt; set auth-policy api lockout-period 900</t>
    </r>
    <r>
      <rPr>
        <sz val="11"/>
        <color rgb="FF000000"/>
        <rFont val="Calibri"/>
      </rPr>
      <t xml:space="preserve">
</t>
    </r>
    <r>
      <rPr>
        <sz val="11"/>
        <color rgb="FF000000"/>
        <rFont val="Calibri"/>
      </rPr>
      <t>&gt; set auth-policy api max-auth-failures 3</t>
    </r>
    <r>
      <rPr>
        <sz val="11"/>
        <color rgb="FF000000"/>
        <rFont val="Calibri"/>
      </rPr>
      <t xml:space="preserve">
</t>
    </r>
    <r>
      <rPr>
        <sz val="11"/>
        <color rgb="FF000000"/>
        <rFont val="Calibri"/>
      </rPr>
      <t>&gt; set auth-policy cli lockout-period 900</t>
    </r>
    <r>
      <rPr>
        <sz val="11"/>
        <color rgb="FF000000"/>
        <rFont val="Calibri"/>
      </rPr>
      <t xml:space="preserve">
</t>
    </r>
    <r>
      <rPr>
        <sz val="11"/>
        <color rgb="FF000000"/>
        <rFont val="Calibri"/>
      </rPr>
      <t>&gt; set auth-policy cli max-auth-failures 3</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</si>
  <si>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</si>
  <si>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From an NSX-T Manager shell, run the following command(s):</t>
    </r>
    <r>
      <rPr>
        <sz val="11"/>
        <color rgb="FF000000"/>
        <rFont val="Calibri"/>
      </rPr>
      <t xml:space="preserve">
</t>
    </r>
    <r>
      <rPr>
        <sz val="11"/>
        <color rgb="FF000000"/>
        <rFont val="Calibri"/>
      </rPr>
      <t>&gt;  get auth-policy api lockout-reset-period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900 seconds</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&gt;  get auth-policy api lockout-period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900 seconds</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&gt;  get auth-policy api max-auth-failures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3</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&gt;  get auth-policy cli lockout-period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900 seconds</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&gt;  get auth-policy cli max-auth-failures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3</t>
    </r>
    <r>
      <rPr>
        <sz val="11"/>
        <color rgb="FF000000"/>
        <rFont val="Calibri"/>
      </rPr>
      <t xml:space="preserve">
</t>
    </r>
    <r>
      <rPr>
        <sz val="11"/>
        <color rgb="FF000000"/>
        <rFont val="Calibri"/>
      </rPr>
      <t>If the output does not match the expected result, this is a finding.</t>
    </r>
  </si>
  <si>
    <t>V-251780</t>
  </si>
  <si>
    <r>
      <rPr>
        <sz val="11"/>
        <rFont val="Calibri"/>
      </rPr>
      <t>The NSX-T Manager must enforce a minimum 15-character password length.</t>
    </r>
  </si>
  <si>
    <r>
      <rPr>
        <sz val="11"/>
        <color rgb="FF000000"/>
        <rFont val="Calibri"/>
      </rPr>
      <t>From an NSX-T Manager shell, run the following command(s):</t>
    </r>
    <r>
      <rPr>
        <sz val="11"/>
        <color rgb="FF000000"/>
        <rFont val="Calibri"/>
      </rPr>
      <t xml:space="preserve">
</t>
    </r>
    <r>
      <rPr>
        <sz val="11"/>
        <color rgb="FF000000"/>
        <rFont val="Calibri"/>
      </rPr>
      <t>&gt; set auth-policy minimum-password-length 15</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</si>
  <si>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</si>
  <si>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From an NSX-T Manager shell, run the following command(s):</t>
    </r>
    <r>
      <rPr>
        <sz val="11"/>
        <color rgb="FF000000"/>
        <rFont val="Calibri"/>
      </rPr>
      <t xml:space="preserve">
</t>
    </r>
    <r>
      <rPr>
        <sz val="11"/>
        <color rgb="FF000000"/>
        <rFont val="Calibri"/>
      </rPr>
      <t>&gt; get auth-policy minimum-password-length</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15 characters</t>
    </r>
    <r>
      <rPr>
        <sz val="11"/>
        <color rgb="FF000000"/>
        <rFont val="Calibri"/>
      </rPr>
      <t xml:space="preserve">
</t>
    </r>
    <r>
      <rPr>
        <sz val="11"/>
        <color rgb="FF000000"/>
        <rFont val="Calibri"/>
      </rPr>
      <t>If the "minimum-password-length" is not set to 15 or greater, this is a finding.</t>
    </r>
  </si>
  <si>
    <t>V-251781</t>
  </si>
  <si>
    <r>
      <rPr>
        <sz val="11"/>
        <rFont val="Calibri"/>
      </rPr>
      <t>The NSX-T Manager must terminate the device management session at the end of the session or after 10 minutes of inactivity.</t>
    </r>
  </si>
  <si>
    <r>
      <rPr>
        <sz val="11"/>
        <color rgb="FF000000"/>
        <rFont val="Calibri"/>
      </rPr>
      <t>From an NSX-T Manager shell, run the following command(s):</t>
    </r>
    <r>
      <rPr>
        <sz val="11"/>
        <color rgb="FF000000"/>
        <rFont val="Calibri"/>
      </rPr>
      <t xml:space="preserve">
</t>
    </r>
    <r>
      <rPr>
        <sz val="11"/>
        <color rgb="FF000000"/>
        <rFont val="Calibri"/>
      </rPr>
      <t>&gt; set service http session-timeout 600</t>
    </r>
    <r>
      <rPr>
        <sz val="11"/>
        <color rgb="FF000000"/>
        <rFont val="Calibri"/>
      </rPr>
      <t xml:space="preserve">
</t>
    </r>
    <r>
      <rPr>
        <sz val="11"/>
        <color rgb="FF000000"/>
        <rFont val="Calibri"/>
      </rPr>
      <t>&gt; set cli-timeout 600</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</si>
  <si>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</si>
  <si>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From an NSX-T Manager shell, run the following command(s):</t>
    </r>
    <r>
      <rPr>
        <sz val="11"/>
        <color rgb="FF000000"/>
        <rFont val="Calibri"/>
      </rPr>
      <t xml:space="preserve">
</t>
    </r>
    <r>
      <rPr>
        <sz val="11"/>
        <color rgb="FF000000"/>
        <rFont val="Calibri"/>
      </rPr>
      <t>&gt;  get service http | find Session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Session timeout:  600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From an NSX-T Manager shell, run the following command(s):</t>
    </r>
    <r>
      <rPr>
        <sz val="11"/>
        <color rgb="FF000000"/>
        <rFont val="Calibri"/>
      </rPr>
      <t xml:space="preserve">
</t>
    </r>
    <r>
      <rPr>
        <sz val="11"/>
        <color rgb="FF000000"/>
        <rFont val="Calibri"/>
      </rPr>
      <t>&gt;  get cli-timeout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600 seconds</t>
    </r>
    <r>
      <rPr>
        <sz val="11"/>
        <color rgb="FF000000"/>
        <rFont val="Calibri"/>
      </rPr>
      <t xml:space="preserve">
</t>
    </r>
    <r>
      <rPr>
        <sz val="11"/>
        <color rgb="FF000000"/>
        <rFont val="Calibri"/>
      </rPr>
      <t>If the output does not match the expected result, this is a finding.</t>
    </r>
  </si>
  <si>
    <t>V-251782</t>
  </si>
  <si>
    <r>
      <rPr>
        <sz val="11"/>
        <rFont val="Calibri"/>
      </rPr>
      <t>The NSX-T Manager must be configured to synchronize internal information system clocks using redundant authoritative time sources.</t>
    </r>
  </si>
  <si>
    <r>
      <rPr>
        <sz val="11"/>
        <color rgb="FF000000"/>
        <rFont val="Calibri"/>
      </rPr>
      <t>To configure a profile to apply NTP servers to all NSX-T Manager nodes, do the following:</t>
    </r>
    <r>
      <rPr>
        <sz val="11"/>
        <color rgb="FF000000"/>
        <rFont val="Calibri"/>
      </rPr>
      <t xml:space="preserve">
</t>
    </r>
    <r>
      <rPr>
        <sz val="11"/>
        <color rgb="FF000000"/>
        <rFont val="Calibri"/>
      </rPr>
      <t>From the NSX-T Manager web interface, go to System &gt;&gt; Fabric &gt;&gt; Profiles &gt;&gt; Node Profiles. Click "All NSX Nodes" and then click "Edit".</t>
    </r>
    <r>
      <rPr>
        <sz val="11"/>
        <color rgb="FF000000"/>
        <rFont val="Calibri"/>
      </rPr>
      <t xml:space="preserve">
</t>
    </r>
    <r>
      <rPr>
        <sz val="11"/>
        <color rgb="FF000000"/>
        <rFont val="Calibri"/>
      </rPr>
      <t>Under NTP servers, remove any unknown or non-authoritative NTP servers, enter at least two authoritative servers, and then click "Save".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NSX-T Manager shell, run the following command(s):</t>
    </r>
    <r>
      <rPr>
        <sz val="11"/>
        <color rgb="FF000000"/>
        <rFont val="Calibri"/>
      </rPr>
      <t xml:space="preserve">
</t>
    </r>
    <r>
      <rPr>
        <sz val="11"/>
        <color rgb="FF000000"/>
        <rFont val="Calibri"/>
      </rPr>
      <t>&gt; del ntp-server &lt;server-ip or server-name&gt;</t>
    </r>
    <r>
      <rPr>
        <sz val="11"/>
        <color rgb="FF000000"/>
        <rFont val="Calibri"/>
      </rPr>
      <t xml:space="preserve">
</t>
    </r>
    <r>
      <rPr>
        <sz val="11"/>
        <color rgb="FF000000"/>
        <rFont val="Calibri"/>
      </rPr>
      <t>&gt; set ntp-server &lt;server-ip or server-name&gt;</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</si>
  <si>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</si>
  <si>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From the NSX-T Manager web interface, go to System &gt;&gt; Fabric &gt;&gt; Profiles &gt;&gt; Node Profiles. Click "All NSX Nodes" and verify the NTP servers listed.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NSX-T Manager shell, run the following command(s):</t>
    </r>
    <r>
      <rPr>
        <sz val="11"/>
        <color rgb="FF000000"/>
        <rFont val="Calibri"/>
      </rPr>
      <t xml:space="preserve">
</t>
    </r>
    <r>
      <rPr>
        <sz val="11"/>
        <color rgb="FF000000"/>
        <rFont val="Calibri"/>
      </rPr>
      <t>&gt; get ntp-server</t>
    </r>
    <r>
      <rPr>
        <sz val="11"/>
        <color rgb="FF000000"/>
        <rFont val="Calibri"/>
      </rPr>
      <t xml:space="preserve">
</t>
    </r>
    <r>
      <rPr>
        <sz val="11"/>
        <color rgb="FF000000"/>
        <rFont val="Calibri"/>
      </rPr>
      <t>If the output does not contain at least two authoritative time sources, this is a finding.</t>
    </r>
    <r>
      <rPr>
        <sz val="11"/>
        <color rgb="FF000000"/>
        <rFont val="Calibri"/>
      </rPr>
      <t xml:space="preserve">
</t>
    </r>
    <r>
      <rPr>
        <sz val="11"/>
        <color rgb="FF000000"/>
        <rFont val="Calibri"/>
      </rPr>
      <t>If the output contains unknown or non-authoritative time sources, this is a finding.</t>
    </r>
  </si>
  <si>
    <t>V-251783</t>
  </si>
  <si>
    <r>
      <rPr>
        <sz val="11"/>
        <rFont val="Calibri"/>
      </rPr>
      <t>The NSX-T Manager must record time stamps for audit records that can be mapped to Coordinated Universal Time (UTC).</t>
    </r>
  </si>
  <si>
    <r>
      <rPr>
        <sz val="11"/>
        <color rgb="FF000000"/>
        <rFont val="Calibri"/>
      </rPr>
      <t>To configure a profile to apply NTP servers to all NSX-T Manager nodes, do the following:</t>
    </r>
    <r>
      <rPr>
        <sz val="11"/>
        <color rgb="FF000000"/>
        <rFont val="Calibri"/>
      </rPr>
      <t xml:space="preserve">
</t>
    </r>
    <r>
      <rPr>
        <sz val="11"/>
        <color rgb="FF000000"/>
        <rFont val="Calibri"/>
      </rPr>
      <t>From the NSX-T Manager web interface, go to System &gt;&gt; Fabric &gt;&gt; Profiles &gt;&gt; Node Profiles. Click "All NSX Nodes", and then click "Edit".</t>
    </r>
    <r>
      <rPr>
        <sz val="11"/>
        <color rgb="FF000000"/>
        <rFont val="Calibri"/>
      </rPr>
      <t xml:space="preserve">
</t>
    </r>
    <r>
      <rPr>
        <sz val="11"/>
        <color rgb="FF000000"/>
        <rFont val="Calibri"/>
      </rPr>
      <t>In the time zone drop-down list, select "UTC", and then click "Save".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NSX-T Manager shell, run the following command(s):</t>
    </r>
    <r>
      <rPr>
        <sz val="11"/>
        <color rgb="FF000000"/>
        <rFont val="Calibri"/>
      </rPr>
      <t xml:space="preserve">
</t>
    </r>
    <r>
      <rPr>
        <sz val="11"/>
        <color rgb="FF000000"/>
        <rFont val="Calibri"/>
      </rPr>
      <t>&gt; set timezone UTC</t>
    </r>
    <r>
      <rPr>
        <sz val="11"/>
        <color rgb="FF000000"/>
        <rFont val="Calibri"/>
      </rPr>
      <t xml:space="preserve">
</t>
    </r>
    <r>
      <rPr>
        <sz val="11"/>
        <color rgb="FF000000"/>
        <rFont val="Calibri"/>
      </rPr>
      <t>Note: This fix must be run from each NSX-T Manager as they are configured individually if done from the command line.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</si>
  <si>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UTC, a modern continuation of Greenwich Mean Time (GMT), or local time with an offset from UTC.</t>
    </r>
  </si>
  <si>
    <r>
      <rPr>
        <sz val="11"/>
        <color rgb="FF000000"/>
        <rFont val="Calibri"/>
      </rPr>
      <t>From the NSX-T Manager web interface, go to System &gt;&gt; Fabric &gt;&gt; Profiles &gt;&gt; Node Profiles. Click "All NSX Nodes" and verify the time zone.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NSX-T Manager shell, run the following command(s):</t>
    </r>
    <r>
      <rPr>
        <sz val="11"/>
        <color rgb="FF000000"/>
        <rFont val="Calibri"/>
      </rPr>
      <t xml:space="preserve">
</t>
    </r>
    <r>
      <rPr>
        <sz val="11"/>
        <color rgb="FF000000"/>
        <rFont val="Calibri"/>
      </rPr>
      <t>&gt; get clock</t>
    </r>
    <r>
      <rPr>
        <sz val="11"/>
        <color rgb="FF000000"/>
        <rFont val="Calibri"/>
      </rPr>
      <t xml:space="preserve">
</t>
    </r>
    <r>
      <rPr>
        <sz val="11"/>
        <color rgb="FF000000"/>
        <rFont val="Calibri"/>
      </rPr>
      <t>If system clock is not configured with the UTC time zone, this is a finding.</t>
    </r>
    <r>
      <rPr>
        <sz val="11"/>
        <color rgb="FF000000"/>
        <rFont val="Calibri"/>
      </rPr>
      <t xml:space="preserve">
</t>
    </r>
    <r>
      <rPr>
        <sz val="11"/>
        <color rgb="FF000000"/>
        <rFont val="Calibri"/>
      </rPr>
      <t>Note: This check must be run from each NSX-T Manager as they are configured individually if done from the command line.</t>
    </r>
  </si>
  <si>
    <t>V-251784</t>
  </si>
  <si>
    <r>
      <rPr>
        <sz val="11"/>
        <rFont val="Calibri"/>
      </rPr>
      <t>The NSX-T Manager must prohibit the use of cached authenticators after an organization-defined time period.</t>
    </r>
  </si>
  <si>
    <r>
      <rPr>
        <sz val="11"/>
        <color rgb="FF000000"/>
        <rFont val="Calibri"/>
      </rPr>
      <t>Some authentication implementations can be configured to use cached authenticators.</t>
    </r>
    <r>
      <rPr>
        <sz val="11"/>
        <color rgb="FF000000"/>
        <rFont val="Calibri"/>
      </rPr>
      <t xml:space="preserve">
</t>
    </r>
    <r>
      <rPr>
        <sz val="11"/>
        <color rgb="FF000000"/>
        <rFont val="Calibri"/>
      </rPr>
      <t>If cached authentication information is out-of-date, the validity of the authentication information may be questionable.</t>
    </r>
    <r>
      <rPr>
        <sz val="11"/>
        <color rgb="FF000000"/>
        <rFont val="Calibri"/>
      </rPr>
      <t xml:space="preserve">
</t>
    </r>
    <r>
      <rPr>
        <sz val="11"/>
        <color rgb="FF000000"/>
        <rFont val="Calibri"/>
      </rPr>
      <t>The organization-defined time period should be established for each device depending on the nature of the device; for example, a device with just a few administrators in a facility with spotty network connectivity may merit a longer caching time period than a device with many administrators.</t>
    </r>
  </si>
  <si>
    <r>
      <rPr>
        <sz val="11"/>
        <color rgb="FF000000"/>
        <rFont val="Calibri"/>
      </rPr>
      <t>From an NSX-T Manager shell, run the following command(s):</t>
    </r>
    <r>
      <rPr>
        <sz val="11"/>
        <color rgb="FF000000"/>
        <rFont val="Calibri"/>
      </rPr>
      <t xml:space="preserve">
</t>
    </r>
    <r>
      <rPr>
        <sz val="11"/>
        <color rgb="FF000000"/>
        <rFont val="Calibri"/>
      </rPr>
      <t>&gt;  get service http | find Session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Session timeout:                  600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From an NSX-T Manager shell, run the following command(s):</t>
    </r>
    <r>
      <rPr>
        <sz val="11"/>
        <color rgb="FF000000"/>
        <rFont val="Calibri"/>
      </rPr>
      <t xml:space="preserve">
</t>
    </r>
    <r>
      <rPr>
        <sz val="11"/>
        <color rgb="FF000000"/>
        <rFont val="Calibri"/>
      </rPr>
      <t>&gt;  get cli-timeout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600 seconds</t>
    </r>
    <r>
      <rPr>
        <sz val="11"/>
        <color rgb="FF000000"/>
        <rFont val="Calibri"/>
      </rPr>
      <t xml:space="preserve">
</t>
    </r>
    <r>
      <rPr>
        <sz val="11"/>
        <color rgb="FF000000"/>
        <rFont val="Calibri"/>
      </rPr>
      <t>If the output does not match the expected result, this is a finding.</t>
    </r>
  </si>
  <si>
    <t>V-251785</t>
  </si>
  <si>
    <r>
      <rPr>
        <sz val="11"/>
        <rFont val="Calibri"/>
      </rPr>
      <t>The NSX-T Manager must be configured to protect against known types of denial-of-service (DoS) attacks by employing organization-defined security safeguards.</t>
    </r>
  </si>
  <si>
    <r>
      <rPr>
        <sz val="11"/>
        <color rgb="FF000000"/>
        <rFont val="Calibri"/>
      </rPr>
      <t>From an NSX-T Manager shell, run the following command(s):</t>
    </r>
    <r>
      <rPr>
        <sz val="11"/>
        <color rgb="FF000000"/>
        <rFont val="Calibri"/>
      </rPr>
      <t xml:space="preserve">
</t>
    </r>
    <r>
      <rPr>
        <sz val="11"/>
        <color rgb="FF000000"/>
        <rFont val="Calibri"/>
      </rPr>
      <t>&gt; set service http client-api-rate-limit 100</t>
    </r>
    <r>
      <rPr>
        <sz val="11"/>
        <color rgb="FF000000"/>
        <rFont val="Calibri"/>
      </rPr>
      <t xml:space="preserve">
</t>
    </r>
    <r>
      <rPr>
        <sz val="11"/>
        <color rgb="FF000000"/>
        <rFont val="Calibri"/>
      </rPr>
      <t>&gt; set service http client-api-concurrency-limit 40</t>
    </r>
    <r>
      <rPr>
        <sz val="11"/>
        <color rgb="FF000000"/>
        <rFont val="Calibri"/>
      </rPr>
      <t xml:space="preserve">
</t>
    </r>
    <r>
      <rPr>
        <sz val="11"/>
        <color rgb="FF000000"/>
        <rFont val="Calibri"/>
      </rPr>
      <t>&gt; set service http global-api-concurrency-limit 199</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</si>
  <si>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</si>
  <si>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From an NSX-T Manager shell, run the following command(s):</t>
    </r>
    <r>
      <rPr>
        <sz val="11"/>
        <color rgb="FF000000"/>
        <rFont val="Calibri"/>
      </rPr>
      <t xml:space="preserve">
</t>
    </r>
    <r>
      <rPr>
        <sz val="11"/>
        <color rgb="FF000000"/>
        <rFont val="Calibri"/>
      </rPr>
      <t>&gt; get service http | find limit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Client API rate limit:            100 requests/sec</t>
    </r>
    <r>
      <rPr>
        <sz val="11"/>
        <color rgb="FF000000"/>
        <rFont val="Calibri"/>
      </rPr>
      <t xml:space="preserve">
</t>
    </r>
    <r>
      <rPr>
        <sz val="11"/>
        <color rgb="FF000000"/>
        <rFont val="Calibri"/>
      </rPr>
      <t>Client API concurrency limit:     40 connections</t>
    </r>
    <r>
      <rPr>
        <sz val="11"/>
        <color rgb="FF000000"/>
        <rFont val="Calibri"/>
      </rPr>
      <t xml:space="preserve">
</t>
    </r>
    <r>
      <rPr>
        <sz val="11"/>
        <color rgb="FF000000"/>
        <rFont val="Calibri"/>
      </rPr>
      <t>Global API concurrency limit:     199 connections</t>
    </r>
    <r>
      <rPr>
        <sz val="11"/>
        <color rgb="FF000000"/>
        <rFont val="Calibri"/>
      </rPr>
      <t xml:space="preserve">
</t>
    </r>
    <r>
      <rPr>
        <sz val="11"/>
        <color rgb="FF000000"/>
        <rFont val="Calibri"/>
      </rPr>
      <t>If the output does not match the expected result, this is a finding.</t>
    </r>
  </si>
  <si>
    <t>V-251786</t>
  </si>
  <si>
    <r>
      <rPr>
        <sz val="11"/>
        <rFont val="Calibri"/>
      </rPr>
      <t>The NSX-T Manager must generate audit records when successful/unsuccessful attempts to delete administrator privileges occur.</t>
    </r>
  </si>
  <si>
    <r>
      <rPr>
        <sz val="11"/>
        <color rgb="FF000000"/>
        <rFont val="Calibri"/>
      </rPr>
      <t>From an NSX-T Manager shell, run the following command(s):</t>
    </r>
    <r>
      <rPr>
        <sz val="11"/>
        <color rgb="FF000000"/>
        <rFont val="Calibri"/>
      </rPr>
      <t xml:space="preserve">
</t>
    </r>
    <r>
      <rPr>
        <sz val="11"/>
        <color rgb="FF000000"/>
        <rFont val="Calibri"/>
      </rPr>
      <t>&gt; set service async_replicator logging-level info</t>
    </r>
    <r>
      <rPr>
        <sz val="11"/>
        <color rgb="FF000000"/>
        <rFont val="Calibri"/>
      </rPr>
      <t xml:space="preserve">
</t>
    </r>
    <r>
      <rPr>
        <sz val="11"/>
        <color rgb="FF000000"/>
        <rFont val="Calibri"/>
      </rPr>
      <t>&gt; set service http logging-level info</t>
    </r>
    <r>
      <rPr>
        <sz val="11"/>
        <color rgb="FF000000"/>
        <rFont val="Calibri"/>
      </rPr>
      <t xml:space="preserve">
</t>
    </r>
    <r>
      <rPr>
        <sz val="11"/>
        <color rgb="FF000000"/>
        <rFont val="Calibri"/>
      </rPr>
      <t>&gt; set service manager logging-level info</t>
    </r>
    <r>
      <rPr>
        <sz val="11"/>
        <color rgb="FF000000"/>
        <rFont val="Calibri"/>
      </rPr>
      <t xml:space="preserve">
</t>
    </r>
    <r>
      <rPr>
        <sz val="11"/>
        <color rgb="FF000000"/>
        <rFont val="Calibri"/>
      </rPr>
      <t>&gt; set service policy logging-level info</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</si>
  <si>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</si>
  <si>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From an NSX-T Manager shell, run the following command(s):</t>
    </r>
    <r>
      <rPr>
        <sz val="11"/>
        <color rgb="FF000000"/>
        <rFont val="Calibri"/>
      </rPr>
      <t xml:space="preserve">
</t>
    </r>
    <r>
      <rPr>
        <sz val="11"/>
        <color rgb="FF000000"/>
        <rFont val="Calibri"/>
      </rPr>
      <t>&gt; get service async_replicator | find Logging</t>
    </r>
    <r>
      <rPr>
        <sz val="11"/>
        <color rgb="FF000000"/>
        <rFont val="Calibri"/>
      </rPr>
      <t xml:space="preserve">
</t>
    </r>
    <r>
      <rPr>
        <sz val="11"/>
        <color rgb="FF000000"/>
        <rFont val="Calibri"/>
      </rPr>
      <t>&gt; get service http | find Logging</t>
    </r>
    <r>
      <rPr>
        <sz val="11"/>
        <color rgb="FF000000"/>
        <rFont val="Calibri"/>
      </rPr>
      <t xml:space="preserve">
</t>
    </r>
    <r>
      <rPr>
        <sz val="11"/>
        <color rgb="FF000000"/>
        <rFont val="Calibri"/>
      </rPr>
      <t>&gt; get service manager | find Logging</t>
    </r>
    <r>
      <rPr>
        <sz val="11"/>
        <color rgb="FF000000"/>
        <rFont val="Calibri"/>
      </rPr>
      <t xml:space="preserve">
</t>
    </r>
    <r>
      <rPr>
        <sz val="11"/>
        <color rgb="FF000000"/>
        <rFont val="Calibri"/>
      </rPr>
      <t>&gt; get service policy | find Logging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Logging level:     info</t>
    </r>
    <r>
      <rPr>
        <sz val="11"/>
        <color rgb="FF000000"/>
        <rFont val="Calibri"/>
      </rPr>
      <t xml:space="preserve">
</t>
    </r>
    <r>
      <rPr>
        <sz val="11"/>
        <color rgb="FF000000"/>
        <rFont val="Calibri"/>
      </rPr>
      <t>If the output does not match the expected result, this is a finding.</t>
    </r>
  </si>
  <si>
    <t>V-251787</t>
  </si>
  <si>
    <r>
      <rPr>
        <sz val="11"/>
        <rFont val="Calibri"/>
      </rPr>
      <t>The NSX-T Manager must be configured to send logs to a central log server.</t>
    </r>
  </si>
  <si>
    <r>
      <rPr>
        <sz val="11"/>
        <color rgb="FF000000"/>
        <rFont val="Calibri"/>
      </rPr>
      <t>(Optional) From an NSX-T Manager shell, run the following command(s) to clear any existing incorrect logging-servers:</t>
    </r>
    <r>
      <rPr>
        <sz val="11"/>
        <color rgb="FF000000"/>
        <rFont val="Calibri"/>
      </rPr>
      <t xml:space="preserve">
</t>
    </r>
    <r>
      <rPr>
        <sz val="11"/>
        <color rgb="FF000000"/>
        <rFont val="Calibri"/>
      </rPr>
      <t>&gt; clear logging-servers</t>
    </r>
    <r>
      <rPr>
        <sz val="11"/>
        <color rgb="FF000000"/>
        <rFont val="Calibri"/>
      </rPr>
      <t xml:space="preserve">
</t>
    </r>
    <r>
      <rPr>
        <sz val="11"/>
        <color rgb="FF000000"/>
        <rFont val="Calibri"/>
      </rPr>
      <t>From an NSX-T Manager shell, run the following command(s) to configure a tcp syslog server:</t>
    </r>
    <r>
      <rPr>
        <sz val="11"/>
        <color rgb="FF000000"/>
        <rFont val="Calibri"/>
      </rPr>
      <t xml:space="preserve">
</t>
    </r>
    <r>
      <rPr>
        <sz val="11"/>
        <color rgb="FF000000"/>
        <rFont val="Calibri"/>
      </rPr>
      <t>&gt; set logging-server &lt;server-ip or server-name&gt; proto tcp level info</t>
    </r>
    <r>
      <rPr>
        <sz val="11"/>
        <color rgb="FF000000"/>
        <rFont val="Calibri"/>
      </rPr>
      <t xml:space="preserve">
</t>
    </r>
    <r>
      <rPr>
        <sz val="11"/>
        <color rgb="FF000000"/>
        <rFont val="Calibri"/>
      </rPr>
      <t>From an NSX-T Manager shell, run the following command(s) to configure a tls syslog server:</t>
    </r>
    <r>
      <rPr>
        <sz val="11"/>
        <color rgb="FF000000"/>
        <rFont val="Calibri"/>
      </rPr>
      <t xml:space="preserve">
</t>
    </r>
    <r>
      <rPr>
        <sz val="11"/>
        <color rgb="FF000000"/>
        <rFont val="Calibri"/>
      </rPr>
      <t>&gt; set logging-server &lt;server-ip or server-name&gt; proto tls level info serverca ca.pem clientca ca.pem certificate cert.pem key key.pem</t>
    </r>
    <r>
      <rPr>
        <sz val="11"/>
        <color rgb="FF000000"/>
        <rFont val="Calibri"/>
      </rPr>
      <t xml:space="preserve">
</t>
    </r>
    <r>
      <rPr>
        <sz val="11"/>
        <color rgb="FF000000"/>
        <rFont val="Calibri"/>
      </rPr>
      <t>From an NSX-T Manager shell, run the following command(s) to configure an li-tls syslog server:</t>
    </r>
    <r>
      <rPr>
        <sz val="11"/>
        <color rgb="FF000000"/>
        <rFont val="Calibri"/>
      </rPr>
      <t xml:space="preserve">
</t>
    </r>
    <r>
      <rPr>
        <sz val="11"/>
        <color rgb="FF000000"/>
        <rFont val="Calibri"/>
      </rPr>
      <t>&gt; set logging-server &lt;server-ip or server-name&gt; proto li-tls level info serverca root-ca.crt</t>
    </r>
    <r>
      <rPr>
        <sz val="11"/>
        <color rgb="FF000000"/>
        <rFont val="Calibri"/>
      </rPr>
      <t xml:space="preserve">
</t>
    </r>
    <r>
      <rPr>
        <sz val="11"/>
        <color rgb="FF000000"/>
        <rFont val="Calibri"/>
      </rPr>
      <t>Note: If using the protocols TLS or LI-TLS to configure a secure connection to a log server, the server and client certificates must be stored in /image/vmware/nsx/file-store on each NSX-T Manager appliance.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</si>
  <si>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</si>
  <si>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From an NSX-T Manager shell, run the following command(s):</t>
    </r>
    <r>
      <rPr>
        <sz val="11"/>
        <color rgb="FF000000"/>
        <rFont val="Calibri"/>
      </rPr>
      <t xml:space="preserve">
</t>
    </r>
    <r>
      <rPr>
        <sz val="11"/>
        <color rgb="FF000000"/>
        <rFont val="Calibri"/>
      </rPr>
      <t>&gt; get logging-servers</t>
    </r>
    <r>
      <rPr>
        <sz val="11"/>
        <color rgb="FF000000"/>
        <rFont val="Calibri"/>
      </rPr>
      <t xml:space="preserve">
</t>
    </r>
    <r>
      <rPr>
        <sz val="11"/>
        <color rgb="FF000000"/>
        <rFont val="Calibri"/>
      </rPr>
      <t>If any configured logging-servers are not configured with protocol of "tcp", "li-tls", or "tls" and level of "info", this is a finding.</t>
    </r>
    <r>
      <rPr>
        <sz val="11"/>
        <color rgb="FF000000"/>
        <rFont val="Calibri"/>
      </rPr>
      <t xml:space="preserve">
</t>
    </r>
    <r>
      <rPr>
        <sz val="11"/>
        <color rgb="FF000000"/>
        <rFont val="Calibri"/>
      </rPr>
      <t>If no logging-servers are configured, this is a finding.</t>
    </r>
    <r>
      <rPr>
        <sz val="11"/>
        <color rgb="FF000000"/>
        <rFont val="Calibri"/>
      </rPr>
      <t xml:space="preserve">
</t>
    </r>
    <r>
      <rPr>
        <sz val="11"/>
        <color rgb="FF000000"/>
        <rFont val="Calibri"/>
      </rPr>
      <t>Note: This check must be run from each NSX-T Manager as they are configured individually.</t>
    </r>
  </si>
  <si>
    <t>V-251788</t>
  </si>
  <si>
    <r>
      <rPr>
        <sz val="11"/>
        <rFont val="Calibri"/>
      </rPr>
      <t>The NSX-T Manager must generate log records for the info level to capture the DoD-required auditable events.</t>
    </r>
  </si>
  <si>
    <r>
      <rPr>
        <sz val="11"/>
        <color rgb="FF000000"/>
        <rFont val="Calibri"/>
      </rPr>
      <t>Auditing and logging are key components of any security architecture. Logging the actions of specific events provides a means to investigate an attack; to recognize resource utilization or capacity thresholds; or to identify an improperly configured network device. If auditing is not comprehensive, it will not be useful for intrusion monitoring, security investigations, and forensic analysis.</t>
    </r>
  </si>
  <si>
    <t>V-251789</t>
  </si>
  <si>
    <r>
      <rPr>
        <sz val="11"/>
        <rFont val="Calibri"/>
      </rPr>
      <t>The NSX-T Manager must integrate with either VMware Identity Manager (vIDM) or VMware Workspace ONE Access.</t>
    </r>
  </si>
  <si>
    <r>
      <rPr>
        <sz val="11"/>
        <color rgb="FF000000"/>
        <rFont val="Calibri"/>
      </rPr>
      <t>To configure NSX-T to integrate with VMware Identity Manager or Workspace ONE Access as the authentication source, do the following:</t>
    </r>
    <r>
      <rPr>
        <sz val="11"/>
        <color rgb="FF000000"/>
        <rFont val="Calibri"/>
      </rPr>
      <t xml:space="preserve">
</t>
    </r>
    <r>
      <rPr>
        <sz val="11"/>
        <color rgb="FF000000"/>
        <rFont val="Calibri"/>
      </rPr>
      <t>From the NSX-T Manager web interface, go to System &gt;&gt; Users and Roles &gt;&gt; VMware Identity Manager and click "Edit".</t>
    </r>
    <r>
      <rPr>
        <sz val="11"/>
        <color rgb="FF000000"/>
        <rFont val="Calibri"/>
      </rPr>
      <t xml:space="preserve">
</t>
    </r>
    <r>
      <rPr>
        <sz val="11"/>
        <color rgb="FF000000"/>
        <rFont val="Calibri"/>
      </rPr>
      <t>If using an external load balancer for the NSX-T Management cluster, enable "External Load Balancer Integration". If using a cluster VIP, leave this disabled.</t>
    </r>
    <r>
      <rPr>
        <sz val="11"/>
        <color rgb="FF000000"/>
        <rFont val="Calibri"/>
      </rPr>
      <t xml:space="preserve">
</t>
    </r>
    <r>
      <rPr>
        <sz val="11"/>
        <color rgb="FF000000"/>
        <rFont val="Calibri"/>
      </rPr>
      <t>Click the toggle button to enable "VMware Identity Manager Integration".</t>
    </r>
    <r>
      <rPr>
        <sz val="11"/>
        <color rgb="FF000000"/>
        <rFont val="Calibri"/>
      </rPr>
      <t xml:space="preserve">
</t>
    </r>
    <r>
      <rPr>
        <sz val="11"/>
        <color rgb="FF000000"/>
        <rFont val="Calibri"/>
      </rPr>
      <t>Enter the VMware Identity Manager or Workspace ONE Access appliance name, OAuth Client ID, OAuth Client Secret, and certificate thumbprint as provided by the administrators.</t>
    </r>
    <r>
      <rPr>
        <sz val="11"/>
        <color rgb="FF000000"/>
        <rFont val="Calibri"/>
      </rPr>
      <t xml:space="preserve">
</t>
    </r>
    <r>
      <rPr>
        <sz val="11"/>
        <color rgb="FF000000"/>
        <rFont val="Calibri"/>
      </rPr>
      <t>Enter the NSX Appliance FQDN. For a cluster, enter the load balancer FQDN or cluster VIP FQDN.</t>
    </r>
    <r>
      <rPr>
        <sz val="11"/>
        <color rgb="FF000000"/>
        <rFont val="Calibri"/>
      </rPr>
      <t xml:space="preserve">
</t>
    </r>
    <r>
      <rPr>
        <sz val="11"/>
        <color rgb="FF000000"/>
        <rFont val="Calibri"/>
      </rPr>
      <t>Click "Save", import users and groups, and then assign them roles.</t>
    </r>
    <r>
      <rPr>
        <sz val="11"/>
        <color rgb="FF000000"/>
        <rFont val="Calibri"/>
      </rPr>
      <t xml:space="preserve">
</t>
    </r>
    <r>
      <rPr>
        <sz val="11"/>
        <color rgb="FF000000"/>
        <rFont val="Calibri"/>
      </rPr>
      <t>Ensure the VMware Identity Manager administrators have configured the certificate authentication adapter to provide two-factor authentication.</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</si>
  <si>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r>
      <rPr>
        <sz val="11"/>
        <color rgb="FF000000"/>
        <rFont val="Calibri"/>
      </rPr>
      <t xml:space="preserve">
</t>
    </r>
    <r>
      <rPr>
        <sz val="11"/>
        <color rgb="FF000000"/>
        <rFont val="Calibri"/>
      </rPr>
      <t xml:space="preserve">Use VMware Identity Manager or Workspace ONE configured to meet DoD requirements for authentication, authorization, and access control. This does not require an additional license. Configuration details of this product are not in scope beyond this requirement. Ensure the VMware Workspace ONE Access/VMware Identity Manager acts as a broker to different identity stores and providers, including Active Directory and SAML. </t>
    </r>
    <r>
      <rPr>
        <sz val="11"/>
        <color rgb="FF000000"/>
        <rFont val="Calibri"/>
      </rPr>
      <t xml:space="preserve">
</t>
    </r>
    <r>
      <rPr>
        <sz val="11"/>
        <color rgb="FF000000"/>
        <rFont val="Calibri"/>
      </rPr>
      <t>Two supplements are included with the VMware NSX-T STIG package that provide guidance from the vendor for configuration of VMware Identity Manager and VMware Workspace ONE Access.</t>
    </r>
    <r>
      <rPr>
        <sz val="11"/>
        <color rgb="FF000000"/>
        <rFont val="Calibri"/>
      </rPr>
      <t xml:space="preserve">
</t>
    </r>
    <r>
      <rPr>
        <sz val="11"/>
        <color rgb="FF000000"/>
        <rFont val="Calibri"/>
      </rPr>
      <t>Satisfies: SRG-APP-000516-NDM-000336, SRG-APP-000177-NDM-000263, SRG-APP-000149-NDM-000247, SRG-APP-000080-NDM-000220</t>
    </r>
  </si>
  <si>
    <r>
      <rPr>
        <sz val="11"/>
        <color rgb="FF000000"/>
        <rFont val="Calibri"/>
      </rPr>
      <t>From the NSX-T Manager web interface, go to System &gt;&gt; Users and Roles &gt;&gt; VMware Identity Manager.</t>
    </r>
    <r>
      <rPr>
        <sz val="11"/>
        <color rgb="FF000000"/>
        <rFont val="Calibri"/>
      </rPr>
      <t xml:space="preserve">
</t>
    </r>
    <r>
      <rPr>
        <sz val="11"/>
        <color rgb="FF000000"/>
        <rFont val="Calibri"/>
      </rPr>
      <t>If the VMware Identity Manager integration is not enabled, this is a finding.</t>
    </r>
    <r>
      <rPr>
        <sz val="11"/>
        <color rgb="FF000000"/>
        <rFont val="Calibri"/>
      </rPr>
      <t xml:space="preserve">
</t>
    </r>
    <r>
      <rPr>
        <sz val="11"/>
        <color rgb="FF000000"/>
        <rFont val="Calibri"/>
      </rPr>
      <t>If the user is not redirected to VMware Identity Manager or Workspace ONE Access when attempting to log in to the NSX-T Manager web interface and prompted to select a certificate and enter a PIN, this is a finding.</t>
    </r>
  </si>
  <si>
    <t>V-251790</t>
  </si>
  <si>
    <r>
      <rPr>
        <sz val="11"/>
        <rFont val="Calibri"/>
      </rPr>
      <t>The NSX-T Manager must be configured to conduct backups on an organizationally defined schedule.</t>
    </r>
  </si>
  <si>
    <r>
      <rPr>
        <sz val="11"/>
        <color rgb="FF000000"/>
        <rFont val="Calibri"/>
      </rPr>
      <t>To configure a backup destination, do the following:</t>
    </r>
    <r>
      <rPr>
        <sz val="11"/>
        <color rgb="FF000000"/>
        <rFont val="Calibri"/>
      </rPr>
      <t xml:space="preserve">
</t>
    </r>
    <r>
      <rPr>
        <sz val="11"/>
        <color rgb="FF000000"/>
        <rFont val="Calibri"/>
      </rPr>
      <t>From the NSX-T Manager web interface, go to System &gt;&gt; Backup and Restore, and then click "Edit" next to SFTP Server.</t>
    </r>
    <r>
      <rPr>
        <sz val="11"/>
        <color rgb="FF000000"/>
        <rFont val="Calibri"/>
      </rPr>
      <t xml:space="preserve">
</t>
    </r>
    <r>
      <rPr>
        <sz val="11"/>
        <color rgb="FF000000"/>
        <rFont val="Calibri"/>
      </rPr>
      <t>Enter the target SFTP server, Directory Path, Username, Password, SSH Fingerprint, and Passphrase, and then click "Save".</t>
    </r>
    <r>
      <rPr>
        <sz val="11"/>
        <color rgb="FF000000"/>
        <rFont val="Calibri"/>
      </rPr>
      <t xml:space="preserve">
</t>
    </r>
    <r>
      <rPr>
        <sz val="11"/>
        <color rgb="FF000000"/>
        <rFont val="Calibri"/>
      </rPr>
      <t>To configure a backup schedule do the following:</t>
    </r>
    <r>
      <rPr>
        <sz val="11"/>
        <color rgb="FF000000"/>
        <rFont val="Calibri"/>
      </rPr>
      <t xml:space="preserve">
</t>
    </r>
    <r>
      <rPr>
        <sz val="11"/>
        <color rgb="FF000000"/>
        <rFont val="Calibri"/>
      </rPr>
      <t>From the NSX-T Manager web interface, go to System &gt;&gt; Backup and Restore, and then click "Edit" next to Schedule.</t>
    </r>
    <r>
      <rPr>
        <sz val="11"/>
        <color rgb="FF000000"/>
        <rFont val="Calibri"/>
      </rPr>
      <t xml:space="preserve">
</t>
    </r>
    <r>
      <rPr>
        <sz val="11"/>
        <color rgb="FF000000"/>
        <rFont val="Calibri"/>
      </rPr>
      <t>Click the "Recurring Backup" toggle and configure an interval between backups. Enable "Detect NSX configuration change" to trigger backups on detection of configuration changes and specify an interval for detecting changes. Click "Save".</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</si>
  <si>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</si>
  <si>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From the NSX-T Manager web interface, go to System &gt;&gt; Backup and Restore to view the backup configuration.</t>
    </r>
    <r>
      <rPr>
        <sz val="11"/>
        <color rgb="FF000000"/>
        <rFont val="Calibri"/>
      </rPr>
      <t xml:space="preserve">
</t>
    </r>
    <r>
      <rPr>
        <sz val="11"/>
        <color rgb="FF000000"/>
        <rFont val="Calibri"/>
      </rPr>
      <t>If backup is not configured and scheduled on a recurring frequency, this is a finding.</t>
    </r>
  </si>
  <si>
    <t>V-251791</t>
  </si>
  <si>
    <r>
      <rPr>
        <sz val="11"/>
        <rFont val="Calibri"/>
      </rPr>
      <t>The NSX-T Manager must support organizational requirements to conduct backups of information system documentation, including security-related documentation, when changes occur or weekly, whichever is sooner.</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</si>
  <si>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were not backed up, and a system failure were to occur,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This control requires the network device to support the organizational central backup process for user account information associated with the network device. This function may be provided by the network device itself; however, the preferred best practice is a centralized backup rather than each network device performing discrete backups.</t>
    </r>
  </si>
  <si>
    <t>V-251792</t>
  </si>
  <si>
    <r>
      <rPr>
        <sz val="11"/>
        <rFont val="Calibri"/>
      </rPr>
      <t>The NSX-T Manager must obtain its public key certificates from an approved DoD certificate authority.</t>
    </r>
  </si>
  <si>
    <r>
      <rPr>
        <sz val="11"/>
        <color rgb="FF000000"/>
        <rFont val="Calibri"/>
      </rPr>
      <t>Obtain a certificate or certificates signed by an approved DoD certification authority. This can be done individually by generating CSRs through the NSX-T Manager web interface &gt;&gt; System &gt;&gt; Certificates &gt;&gt; CSRs &gt;&gt; Generate CSR or outside of NSX-T if a common manager and cluster certificate is desired.</t>
    </r>
    <r>
      <rPr>
        <sz val="11"/>
        <color rgb="FF000000"/>
        <rFont val="Calibri"/>
      </rPr>
      <t xml:space="preserve">
</t>
    </r>
    <r>
      <rPr>
        <sz val="11"/>
        <color rgb="FF000000"/>
        <rFont val="Calibri"/>
      </rPr>
      <t>Import the certificate(s) into NSX-T by doing the following:</t>
    </r>
    <r>
      <rPr>
        <sz val="11"/>
        <color rgb="FF000000"/>
        <rFont val="Calibri"/>
      </rPr>
      <t xml:space="preserve">
</t>
    </r>
    <r>
      <rPr>
        <sz val="11"/>
        <color rgb="FF000000"/>
        <rFont val="Calibri"/>
      </rPr>
      <t>From the NSX-T Manager web interface, go to System &gt;&gt; Certificates &gt;&gt; Import &gt;&gt; Import Certificate. Provide a name for the certificate and paste the certificates contents and key. Uncheck "Service Certificate" and click "Import".</t>
    </r>
    <r>
      <rPr>
        <sz val="11"/>
        <color rgb="FF000000"/>
        <rFont val="Calibri"/>
      </rPr>
      <t xml:space="preserve">
</t>
    </r>
    <r>
      <rPr>
        <sz val="11"/>
        <color rgb="FF000000"/>
        <rFont val="Calibri"/>
      </rPr>
      <t>After import note the ID of the certificate(s).</t>
    </r>
    <r>
      <rPr>
        <sz val="11"/>
        <color rgb="FF000000"/>
        <rFont val="Calibri"/>
      </rPr>
      <t xml:space="preserve">
</t>
    </r>
    <r>
      <rPr>
        <sz val="11"/>
        <color rgb="FF000000"/>
        <rFont val="Calibri"/>
      </rPr>
      <t>Using curl or another REST API client perform the following API calls and replace the certificate IDs noted in the previous steps.</t>
    </r>
    <r>
      <rPr>
        <sz val="11"/>
        <color rgb="FF000000"/>
        <rFont val="Calibri"/>
      </rPr>
      <t xml:space="preserve">
</t>
    </r>
    <r>
      <rPr>
        <sz val="11"/>
        <color rgb="FF000000"/>
        <rFont val="Calibri"/>
      </rPr>
      <t>To replace a managers certificate: POST https://&lt;nsx-mgr&gt;/api/v1/node/services/http?action=apply_certificate&amp;certificate_id=e61c7537-3090-4149-b2b6-19915c20504f</t>
    </r>
    <r>
      <rPr>
        <sz val="11"/>
        <color rgb="FF000000"/>
        <rFont val="Calibri"/>
      </rPr>
      <t xml:space="preserve">
</t>
    </r>
    <r>
      <rPr>
        <sz val="11"/>
        <color rgb="FF000000"/>
        <rFont val="Calibri"/>
      </rPr>
      <t>To replace the cluster certificate: POST https://&lt;nsx-mgr&gt;/api/v1/cluster/api-certificate?action=set_cluster_certificate&amp;certificate_id=d60c6a07-6e59-4873-8edb-339bf75711ac</t>
    </r>
    <r>
      <rPr>
        <sz val="11"/>
        <color rgb="FF000000"/>
        <rFont val="Calibri"/>
      </rPr>
      <t xml:space="preserve">
</t>
    </r>
    <r>
      <rPr>
        <sz val="11"/>
        <color rgb="FF000000"/>
        <rFont val="Calibri"/>
      </rPr>
      <t>Note: If an NSX Intelligence appliance is deployed with the NSX Manager cluster, update the NSX Manager node IP, certificate, and thumbprint information that is on the NSX Intelligence appliance. See VMware Knowledge Base article https://kb.vmware.com/s/article/78505 for more information.</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</si>
  <si>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</si>
  <si>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NSX-T Manager uses a certificate for each manager and one for the cluster VIP. In some cases these are the same, but each node and cluster VIP certificate must be checked individually.</t>
    </r>
    <r>
      <rPr>
        <sz val="11"/>
        <color rgb="FF000000"/>
        <rFont val="Calibri"/>
      </rPr>
      <t xml:space="preserve">
</t>
    </r>
    <r>
      <rPr>
        <sz val="11"/>
        <color rgb="FF000000"/>
        <rFont val="Calibri"/>
      </rPr>
      <t>Browse to the NSX-T Manager web interface for each node and cluster VIP and view the certificate and its issuer of the website.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NSX-T Manager shell, run the following command(s):</t>
    </r>
    <r>
      <rPr>
        <sz val="11"/>
        <color rgb="FF000000"/>
        <rFont val="Calibri"/>
      </rPr>
      <t xml:space="preserve">
</t>
    </r>
    <r>
      <rPr>
        <sz val="11"/>
        <color rgb="FF000000"/>
        <rFont val="Calibri"/>
      </rPr>
      <t>&gt; get certificate api</t>
    </r>
    <r>
      <rPr>
        <sz val="11"/>
        <color rgb="FF000000"/>
        <rFont val="Calibri"/>
      </rPr>
      <t xml:space="preserve">
</t>
    </r>
    <r>
      <rPr>
        <sz val="11"/>
        <color rgb="FF000000"/>
        <rFont val="Calibri"/>
      </rPr>
      <t>&gt; get certificate cluster</t>
    </r>
    <r>
      <rPr>
        <sz val="11"/>
        <color rgb="FF000000"/>
        <rFont val="Calibri"/>
      </rPr>
      <t xml:space="preserve">
</t>
    </r>
    <r>
      <rPr>
        <sz val="11"/>
        <color rgb="FF000000"/>
        <rFont val="Calibri"/>
      </rPr>
      <t>Save the output to a .cer file to examine.</t>
    </r>
    <r>
      <rPr>
        <sz val="11"/>
        <color rgb="FF000000"/>
        <rFont val="Calibri"/>
      </rPr>
      <t xml:space="preserve">
</t>
    </r>
    <r>
      <rPr>
        <sz val="11"/>
        <color rgb="FF000000"/>
        <rFont val="Calibri"/>
      </rPr>
      <t>If the certificate the NSX-T Manager web interface or cluster is using is not issued by an approved DoD certificate authority and is not currently valid, this is a finding.</t>
    </r>
  </si>
  <si>
    <t>V-251793</t>
  </si>
  <si>
    <r>
      <rPr>
        <sz val="11"/>
        <rFont val="Calibri"/>
      </rPr>
      <t>The NSX-T Manager must be configured to send log data to a central log server for the purpose of forwarding alerts to the administrators and the Information System Security Officer (ISSO).</t>
    </r>
  </si>
  <si>
    <r>
      <rPr>
        <sz val="11"/>
        <color rgb="FF000000"/>
        <rFont val="Calibri"/>
      </rPr>
      <t>(Optional) From an NSX-T Manager shell, run the following command(s) to clear any existing incorrect logging-servers:</t>
    </r>
    <r>
      <rPr>
        <sz val="11"/>
        <color rgb="FF000000"/>
        <rFont val="Calibri"/>
      </rPr>
      <t xml:space="preserve">
</t>
    </r>
    <r>
      <rPr>
        <sz val="11"/>
        <color rgb="FF000000"/>
        <rFont val="Calibri"/>
      </rPr>
      <t>&gt; clear logging-servers</t>
    </r>
    <r>
      <rPr>
        <sz val="11"/>
        <color rgb="FF000000"/>
        <rFont val="Calibri"/>
      </rPr>
      <t xml:space="preserve">
</t>
    </r>
    <r>
      <rPr>
        <sz val="11"/>
        <color rgb="FF000000"/>
        <rFont val="Calibri"/>
      </rPr>
      <t>From an NSX-T Manager shell, run the following command(s) to configure a tcp syslog server:</t>
    </r>
    <r>
      <rPr>
        <sz val="11"/>
        <color rgb="FF000000"/>
        <rFont val="Calibri"/>
      </rPr>
      <t xml:space="preserve">
</t>
    </r>
    <r>
      <rPr>
        <sz val="11"/>
        <color rgb="FF000000"/>
        <rFont val="Calibri"/>
      </rPr>
      <t>&gt; set logging-server &lt;server-ip or server-name&gt; proto tcp level info</t>
    </r>
    <r>
      <rPr>
        <sz val="11"/>
        <color rgb="FF000000"/>
        <rFont val="Calibri"/>
      </rPr>
      <t xml:space="preserve">
</t>
    </r>
    <r>
      <rPr>
        <sz val="11"/>
        <color rgb="FF000000"/>
        <rFont val="Calibri"/>
      </rPr>
      <t>From an NSX-T Manager shell, run the following command(s) to configure a tls syslog server:</t>
    </r>
    <r>
      <rPr>
        <sz val="11"/>
        <color rgb="FF000000"/>
        <rFont val="Calibri"/>
      </rPr>
      <t xml:space="preserve">
</t>
    </r>
    <r>
      <rPr>
        <sz val="11"/>
        <color rgb="FF000000"/>
        <rFont val="Calibri"/>
      </rPr>
      <t>&gt; set logging-server &lt;server-ip or server-name&gt; proto tls level info serverca ca.pem clientca ca.pem certificate cert.pem key key.pem</t>
    </r>
    <r>
      <rPr>
        <sz val="11"/>
        <color rgb="FF000000"/>
        <rFont val="Calibri"/>
      </rPr>
      <t xml:space="preserve">
</t>
    </r>
    <r>
      <rPr>
        <sz val="11"/>
        <color rgb="FF000000"/>
        <rFont val="Calibri"/>
      </rPr>
      <t>From an NSX-T Manager shell, run the following command(s) to configure a li-tls syslog server:</t>
    </r>
    <r>
      <rPr>
        <sz val="11"/>
        <color rgb="FF000000"/>
        <rFont val="Calibri"/>
      </rPr>
      <t xml:space="preserve">
</t>
    </r>
    <r>
      <rPr>
        <sz val="11"/>
        <color rgb="FF000000"/>
        <rFont val="Calibri"/>
      </rPr>
      <t>&gt; set logging-server &lt;server-ip or server-name&gt; proto li-tls level info serverca root-ca.crt</t>
    </r>
    <r>
      <rPr>
        <sz val="11"/>
        <color rgb="FF000000"/>
        <rFont val="Calibri"/>
      </rPr>
      <t xml:space="preserve">
</t>
    </r>
    <r>
      <rPr>
        <sz val="11"/>
        <color rgb="FF000000"/>
        <rFont val="Calibri"/>
      </rPr>
      <t>Note: If  using the protocols TLS or LI-TLS to configure a secure connection to a log server, the server and client certificates must be stored in /image/vmware/nsx/file-store on each NSX-T Manager appliance.</t>
    </r>
  </si>
  <si>
    <r>
      <rPr>
        <sz val="11"/>
        <color rgb="FF000000"/>
        <rFont val="Calibri"/>
      </rPr>
      <t>The aggregation of log data kept on a syslog server can be used to detect attacks and trigger an alert to the appropriate security personnel. The stored log data can used to detect weaknesses in security that enable the network IA team to find and address these weaknesses before breaches can occur. Reviewing these logs, whether before or after a security breach, is important in showing whether someone is an internal employee or an outside threat.</t>
    </r>
  </si>
  <si>
    <t>V-251794</t>
  </si>
  <si>
    <r>
      <rPr>
        <sz val="11"/>
        <rFont val="Calibri"/>
      </rPr>
      <t>The NSX-T Manager must be running a release that is currently supported by the vendor.</t>
    </r>
  </si>
  <si>
    <r>
      <rPr>
        <sz val="11"/>
        <color rgb="FF000000"/>
        <rFont val="Calibri"/>
      </rPr>
      <t>To upgrade NSX-T, reference the upgrade guide in the documentation for the relevant version being upgraded. Refer to the NSX-T documentation and release notes for information on the latest releases.</t>
    </r>
    <r>
      <rPr>
        <sz val="11"/>
        <color rgb="FF000000"/>
        <rFont val="Calibri"/>
      </rPr>
      <t xml:space="preserve">
</t>
    </r>
    <r>
      <rPr>
        <sz val="11"/>
        <color rgb="FF000000"/>
        <rFont val="Calibri"/>
      </rPr>
      <t>https://docs.vmware.com/en/VMware-NSX-T-Data-Center/index.html</t>
    </r>
    <r>
      <rPr>
        <sz val="11"/>
        <color rgb="FF000000"/>
        <rFont val="Calibri"/>
      </rPr>
      <t xml:space="preserve">
</t>
    </r>
    <r>
      <rPr>
        <sz val="11"/>
        <color rgb="FF000000"/>
        <rFont val="Calibri"/>
      </rPr>
      <t>If NSX-T is part of a VMware Cloud Foundation, refer to that documentation for latest supported versions and upgrade guidance.</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</si>
  <si>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</si>
  <si>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From the NSX-T Manager web interface, go to the System &gt;&gt; Upgrade.</t>
    </r>
    <r>
      <rPr>
        <sz val="11"/>
        <color rgb="FF000000"/>
        <rFont val="Calibri"/>
      </rPr>
      <t xml:space="preserve">
</t>
    </r>
    <r>
      <rPr>
        <sz val="11"/>
        <color rgb="FF000000"/>
        <rFont val="Calibri"/>
      </rPr>
      <t>If the NSX-T Manager current version is not the latest approved for use in DoD and supported by the vendor, this is a finding.</t>
    </r>
  </si>
  <si>
    <t>V-251795</t>
  </si>
  <si>
    <r>
      <rPr>
        <sz val="11"/>
        <rFont val="Calibri"/>
      </rPr>
      <t>The NSX-T Manager must not provide environment information to third parties.</t>
    </r>
  </si>
  <si>
    <r>
      <rPr>
        <sz val="11"/>
        <color rgb="FF000000"/>
        <rFont val="Calibri"/>
      </rPr>
      <t>From the NSX-T Manager web interface, go to System &gt;&gt; Customer Experience Improvement Program, and then click "Edit".</t>
    </r>
    <r>
      <rPr>
        <sz val="11"/>
        <color rgb="FF000000"/>
        <rFont val="Calibri"/>
      </rPr>
      <t xml:space="preserve">
</t>
    </r>
    <r>
      <rPr>
        <sz val="11"/>
        <color rgb="FF000000"/>
        <rFont val="Calibri"/>
      </rPr>
      <t>Uncheck "Join the VMware Customer Experience Improvement Program" and click "Save".</t>
    </r>
  </si>
  <si>
    <r>
      <rPr>
        <sz val="11"/>
        <color rgb="FF000000"/>
        <rFont val="Calibri"/>
      </rPr>
      <t>Providing technical details about an environment's infrastructure to third parties could unknowingly expose sensitive information to bad actors if intercepted.</t>
    </r>
  </si>
  <si>
    <r>
      <rPr>
        <sz val="11"/>
        <color rgb="FF000000"/>
        <rFont val="Calibri"/>
      </rPr>
      <t>From the NSX-T Manager web interface, go to System &gt;&gt; Customer Experience Improvement Program.</t>
    </r>
    <r>
      <rPr>
        <sz val="11"/>
        <color rgb="FF000000"/>
        <rFont val="Calibri"/>
      </rPr>
      <t xml:space="preserve">
</t>
    </r>
    <r>
      <rPr>
        <sz val="11"/>
        <color rgb="FF000000"/>
        <rFont val="Calibri"/>
      </rPr>
      <t>If Joined is set to "Yes", this is a finding.</t>
    </r>
  </si>
  <si>
    <t>V-251796</t>
  </si>
  <si>
    <r>
      <rPr>
        <sz val="11"/>
        <rFont val="Calibri"/>
      </rPr>
      <t>The NSX-T Manager must disable SSH.</t>
    </r>
  </si>
  <si>
    <r>
      <rPr>
        <sz val="11"/>
        <color rgb="FF000000"/>
        <rFont val="Calibri"/>
      </rPr>
      <t>From an NSX-T Manager shell, run the following command(s):</t>
    </r>
    <r>
      <rPr>
        <sz val="11"/>
        <color rgb="FF000000"/>
        <rFont val="Calibri"/>
      </rPr>
      <t xml:space="preserve">
</t>
    </r>
    <r>
      <rPr>
        <sz val="11"/>
        <color rgb="FF000000"/>
        <rFont val="Calibri"/>
      </rPr>
      <t>&gt; stop service ssh</t>
    </r>
    <r>
      <rPr>
        <sz val="11"/>
        <color rgb="FF000000"/>
        <rFont val="Calibri"/>
      </rPr>
      <t xml:space="preserve">
</t>
    </r>
    <r>
      <rPr>
        <sz val="11"/>
        <color rgb="FF000000"/>
        <rFont val="Calibri"/>
      </rPr>
      <t>&gt; clear service ssh start-on-boot</t>
    </r>
  </si>
  <si>
    <r>
      <rPr>
        <sz val="11"/>
        <color rgb="FF000000"/>
        <rFont val="Calibri"/>
      </rPr>
      <t>The NSX-T shell provides temporary access to commands essential for server maintenance. Intended primarily for use in break-fix scenarios, the NSX-T shell is well suited for checking and modifying configuration details, not always generally accessible, using the web interface. The NSX-T shell is accessible remotely using SSH. Under normal operating conditions, SSH access to the managers must be disabled as is the default. As with the NSX-T shell, SSH is also intended only for temporary use during break-fix scenarios. SSH must therefore be disabled under normal operating conditions and must only be enabled for diagnostics or troubleshooting. Remote access to the managers must therefore be limited to the web interface and API at all other times.</t>
    </r>
  </si>
  <si>
    <r>
      <rPr>
        <sz val="11"/>
        <color rgb="FF000000"/>
        <rFont val="Calibri"/>
      </rPr>
      <t>From an NSX-T Manager shell, run the following command(s):</t>
    </r>
    <r>
      <rPr>
        <sz val="11"/>
        <color rgb="FF000000"/>
        <rFont val="Calibri"/>
      </rPr>
      <t xml:space="preserve">
</t>
    </r>
    <r>
      <rPr>
        <sz val="11"/>
        <color rgb="FF000000"/>
        <rFont val="Calibri"/>
      </rPr>
      <t>&gt; get service ssh</t>
    </r>
    <r>
      <rPr>
        <sz val="11"/>
        <color rgb="FF000000"/>
        <rFont val="Calibri"/>
      </rPr>
      <t xml:space="preserve">
</t>
    </r>
    <r>
      <rPr>
        <sz val="11"/>
        <color rgb="FF000000"/>
        <rFont val="Calibri"/>
      </rPr>
      <t>Expected results:</t>
    </r>
    <r>
      <rPr>
        <sz val="11"/>
        <color rgb="FF000000"/>
        <rFont val="Calibri"/>
      </rPr>
      <t xml:space="preserve">
</t>
    </r>
    <r>
      <rPr>
        <sz val="11"/>
        <color rgb="FF000000"/>
        <rFont val="Calibri"/>
      </rPr>
      <t>Service name:      ssh</t>
    </r>
    <r>
      <rPr>
        <sz val="11"/>
        <color rgb="FF000000"/>
        <rFont val="Calibri"/>
      </rPr>
      <t xml:space="preserve">
</t>
    </r>
    <r>
      <rPr>
        <sz val="11"/>
        <color rgb="FF000000"/>
        <rFont val="Calibri"/>
      </rPr>
      <t>Service state:     stopped</t>
    </r>
    <r>
      <rPr>
        <sz val="11"/>
        <color rgb="FF000000"/>
        <rFont val="Calibri"/>
      </rPr>
      <t xml:space="preserve">
</t>
    </r>
    <r>
      <rPr>
        <sz val="11"/>
        <color rgb="FF000000"/>
        <rFont val="Calibri"/>
      </rPr>
      <t>Start on boot:     False</t>
    </r>
    <r>
      <rPr>
        <sz val="11"/>
        <color rgb="FF000000"/>
        <rFont val="Calibri"/>
      </rPr>
      <t xml:space="preserve">
</t>
    </r>
    <r>
      <rPr>
        <sz val="11"/>
        <color rgb="FF000000"/>
        <rFont val="Calibri"/>
      </rPr>
      <t>If the output does not match the expected results, this is a finding.</t>
    </r>
  </si>
  <si>
    <t>V-251797</t>
  </si>
  <si>
    <r>
      <rPr>
        <sz val="11"/>
        <rFont val="Calibri"/>
      </rPr>
      <t>The NSX-T Manager must disable unused local accounts.</t>
    </r>
  </si>
  <si>
    <r>
      <rPr>
        <sz val="11"/>
        <color rgb="FF000000"/>
        <rFont val="Calibri"/>
      </rPr>
      <t>From the NSX-T Manager web interface, go to the System &gt;&gt; Users and Roles &gt;&gt; Local Users.</t>
    </r>
    <r>
      <rPr>
        <sz val="11"/>
        <color rgb="FF000000"/>
        <rFont val="Calibri"/>
      </rPr>
      <t xml:space="preserve">
</t>
    </r>
    <r>
      <rPr>
        <sz val="11"/>
        <color rgb="FF000000"/>
        <rFont val="Calibri"/>
      </rPr>
      <t>Select the menu drop down next to the user to modify and click "Deactivate User".</t>
    </r>
  </si>
  <si>
    <r>
      <rPr>
        <sz val="11"/>
        <color rgb="FF000000"/>
        <rFont val="Calibri"/>
      </rPr>
      <t>Prior to NSX-T 3.1 and earlier, there are three local accounts: root, admin, and audit. These local accounts could not be disabled and no additional accounts could be created. Starting in NSX-T 3.1.1, there are two additional guest user accounts: guestuser1 and guestuser2. The local accounts for audit and guest users are disabled by default, but can be deactivated once active; however, admin and root accounts cannot be disabled. These accounts should remain disabled and unique non-local user accounts should be used instead.</t>
    </r>
  </si>
  <si>
    <r>
      <rPr>
        <sz val="11"/>
        <color rgb="FF000000"/>
        <rFont val="Calibri"/>
      </rPr>
      <t>If NSX-T is not at least version 3.1.1, this is not applicable.</t>
    </r>
    <r>
      <rPr>
        <sz val="11"/>
        <color rgb="FF000000"/>
        <rFont val="Calibri"/>
      </rPr>
      <t xml:space="preserve">
</t>
    </r>
    <r>
      <rPr>
        <sz val="11"/>
        <color rgb="FF000000"/>
        <rFont val="Calibri"/>
      </rPr>
      <t>From the NSX-T Manager web interface, go to the System &gt;&gt; Users and Roles &gt;&gt; Local Users and view the status column.</t>
    </r>
    <r>
      <rPr>
        <sz val="11"/>
        <color rgb="FF000000"/>
        <rFont val="Calibri"/>
      </rPr>
      <t xml:space="preserve">
</t>
    </r>
    <r>
      <rPr>
        <sz val="11"/>
        <color rgb="FF000000"/>
        <rFont val="Calibri"/>
      </rPr>
      <t>If the audit, guestuser1, or guestuser2 local accounts are active, this is a finding.</t>
    </r>
  </si>
  <si>
    <t>V-251798</t>
  </si>
  <si>
    <r>
      <rPr>
        <sz val="11"/>
        <rFont val="Calibri"/>
      </rPr>
      <t>The NSX-T Manager must disable TLS 1.1 and enable TLS 1.2.</t>
    </r>
  </si>
  <si>
    <r>
      <rPr>
        <sz val="11"/>
        <color rgb="FF000000"/>
        <rFont val="Calibri"/>
      </rPr>
      <t>Capture the output from the check GET command and update the TLS 1.1 protocol to false.</t>
    </r>
    <r>
      <rPr>
        <sz val="11"/>
        <color rgb="FF000000"/>
        <rFont val="Calibri"/>
      </rPr>
      <t xml:space="preserve">
</t>
    </r>
    <r>
      <rPr>
        <sz val="11"/>
        <color rgb="FF000000"/>
        <rFont val="Calibri"/>
      </rPr>
      <t>Execute the following API call using curl or another REST API client:</t>
    </r>
    <r>
      <rPr>
        <sz val="11"/>
        <color rgb="FF000000"/>
        <rFont val="Calibri"/>
      </rPr>
      <t xml:space="preserve">
</t>
    </r>
    <r>
      <rPr>
        <sz val="11"/>
        <color rgb="FF000000"/>
        <rFont val="Calibri"/>
      </rPr>
      <t>PUT https://&lt;nsx-mgr&gt;/api/v1/cluster/api-service</t>
    </r>
    <r>
      <rPr>
        <sz val="11"/>
        <color rgb="FF000000"/>
        <rFont val="Calibri"/>
      </rPr>
      <t xml:space="preserve">
</t>
    </r>
    <r>
      <rPr>
        <sz val="11"/>
        <color rgb="FF000000"/>
        <rFont val="Calibri"/>
      </rPr>
      <t>Example request body:</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"global_api_concurrency_limit": 199,</t>
    </r>
    <r>
      <rPr>
        <sz val="11"/>
        <color rgb="FF000000"/>
        <rFont val="Calibri"/>
      </rPr>
      <t xml:space="preserve">
</t>
    </r>
    <r>
      <rPr>
        <sz val="11"/>
        <color rgb="FF000000"/>
        <rFont val="Calibri"/>
      </rPr>
      <t xml:space="preserve">  "client_api_rate_limit": 100,</t>
    </r>
    <r>
      <rPr>
        <sz val="11"/>
        <color rgb="FF000000"/>
        <rFont val="Calibri"/>
      </rPr>
      <t xml:space="preserve">
</t>
    </r>
    <r>
      <rPr>
        <sz val="11"/>
        <color rgb="FF000000"/>
        <rFont val="Calibri"/>
      </rPr>
      <t xml:space="preserve">  "client_api_concurrency_limit": 40,</t>
    </r>
    <r>
      <rPr>
        <sz val="11"/>
        <color rgb="FF000000"/>
        <rFont val="Calibri"/>
      </rPr>
      <t xml:space="preserve">
</t>
    </r>
    <r>
      <rPr>
        <sz val="11"/>
        <color rgb="FF000000"/>
        <rFont val="Calibri"/>
      </rPr>
      <t xml:space="preserve">  "connection_timeout": 30,</t>
    </r>
    <r>
      <rPr>
        <sz val="11"/>
        <color rgb="FF000000"/>
        <rFont val="Calibri"/>
      </rPr>
      <t xml:space="preserve">
</t>
    </r>
    <r>
      <rPr>
        <sz val="11"/>
        <color rgb="FF000000"/>
        <rFont val="Calibri"/>
      </rPr>
      <t xml:space="preserve">  "redirect_host": "",</t>
    </r>
    <r>
      <rPr>
        <sz val="11"/>
        <color rgb="FF000000"/>
        <rFont val="Calibri"/>
      </rPr>
      <t xml:space="preserve">
</t>
    </r>
    <r>
      <rPr>
        <sz val="11"/>
        <color rgb="FF000000"/>
        <rFont val="Calibri"/>
      </rPr>
      <t xml:space="preserve">  "cipher_suites": [</t>
    </r>
    <r>
      <rPr>
        <sz val="11"/>
        <color rgb="FF000000"/>
        <rFont val="Calibri"/>
      </rPr>
      <t xml:space="preserve">
</t>
    </r>
    <r>
      <rPr>
        <sz val="11"/>
        <color rgb="FF000000"/>
        <rFont val="Calibri"/>
      </rPr>
      <t xml:space="preserve">    {"enabled": true, "name": "TLS_ECDHE_RSA_WITH_AES_256_GCM_SHA384"},</t>
    </r>
    <r>
      <rPr>
        <sz val="11"/>
        <color rgb="FF000000"/>
        <rFont val="Calibri"/>
      </rPr>
      <t xml:space="preserve">
</t>
    </r>
    <r>
      <rPr>
        <sz val="11"/>
        <color rgb="FF000000"/>
        <rFont val="Calibri"/>
      </rPr>
      <t xml:space="preserve">    {"enabled": true, "name": "TLS_RSA_WITH_AES_256_GCM_SHA384"},</t>
    </r>
    <r>
      <rPr>
        <sz val="11"/>
        <color rgb="FF000000"/>
        <rFont val="Calibri"/>
      </rPr>
      <t xml:space="preserve">
</t>
    </r>
    <r>
      <rPr>
        <sz val="11"/>
        <color rgb="FF000000"/>
        <rFont val="Calibri"/>
      </rPr>
      <t xml:space="preserve">    {"enabled": true, "name": "TLS_ECDHE_RSA_WITH_AES_128_GCM_SHA256"},</t>
    </r>
    <r>
      <rPr>
        <sz val="11"/>
        <color rgb="FF000000"/>
        <rFont val="Calibri"/>
      </rPr>
      <t xml:space="preserve">
</t>
    </r>
    <r>
      <rPr>
        <sz val="11"/>
        <color rgb="FF000000"/>
        <rFont val="Calibri"/>
      </rPr>
      <t xml:space="preserve">    {"enabled": true, "name": "TLS_RSA_WITH_AES_128_GCM_SHA256"}</t>
    </r>
    <r>
      <rPr>
        <sz val="11"/>
        <color rgb="FF000000"/>
        <rFont val="Calibri"/>
      </rPr>
      <t xml:space="preserve">
</t>
    </r>
    <r>
      <rPr>
        <sz val="11"/>
        <color rgb="FF000000"/>
        <rFont val="Calibri"/>
      </rPr>
      <t xml:space="preserve">    {"enabled": true, "name": "TLS_ECDHE_RSA_WITH_AES_256_CBC_SHA384}",</t>
    </r>
    <r>
      <rPr>
        <sz val="11"/>
        <color rgb="FF000000"/>
        <rFont val="Calibri"/>
      </rPr>
      <t xml:space="preserve">
</t>
    </r>
    <r>
      <rPr>
        <sz val="11"/>
        <color rgb="FF000000"/>
        <rFont val="Calibri"/>
      </rPr>
      <t xml:space="preserve">    {"enabled": true, "name": "TLS_RSA_WITH_AES_256_CBC_SHA256"},</t>
    </r>
    <r>
      <rPr>
        <sz val="11"/>
        <color rgb="FF000000"/>
        <rFont val="Calibri"/>
      </rPr>
      <t xml:space="preserve">
</t>
    </r>
    <r>
      <rPr>
        <sz val="11"/>
        <color rgb="FF000000"/>
        <rFont val="Calibri"/>
      </rPr>
      <t xml:space="preserve">    {"enabled": true, "name": "TLS_ECDHE_RSA_WITH_AES_256_CBC_SHA"},</t>
    </r>
    <r>
      <rPr>
        <sz val="11"/>
        <color rgb="FF000000"/>
        <rFont val="Calibri"/>
      </rPr>
      <t xml:space="preserve">
</t>
    </r>
    <r>
      <rPr>
        <sz val="11"/>
        <color rgb="FF000000"/>
        <rFont val="Calibri"/>
      </rPr>
      <t xml:space="preserve">    {"enabled": true, "name": "TLS_RSA_WITH_AES_256_CBC_SHA"},</t>
    </r>
    <r>
      <rPr>
        <sz val="11"/>
        <color rgb="FF000000"/>
        <rFont val="Calibri"/>
      </rPr>
      <t xml:space="preserve">
</t>
    </r>
    <r>
      <rPr>
        <sz val="11"/>
        <color rgb="FF000000"/>
        <rFont val="Calibri"/>
      </rPr>
      <t xml:space="preserve">    {"enabled": true, "name": "TLS_ECDHE_RSA_WITH_AES_128_CBC_SHA256"},</t>
    </r>
    <r>
      <rPr>
        <sz val="11"/>
        <color rgb="FF000000"/>
        <rFont val="Calibri"/>
      </rPr>
      <t xml:space="preserve">
</t>
    </r>
    <r>
      <rPr>
        <sz val="11"/>
        <color rgb="FF000000"/>
        <rFont val="Calibri"/>
      </rPr>
      <t xml:space="preserve">    {"enabled": true, "name": "TLS_RSA_WITH_AES_128_CBC_SHA256"},</t>
    </r>
    <r>
      <rPr>
        <sz val="11"/>
        <color rgb="FF000000"/>
        <rFont val="Calibri"/>
      </rPr>
      <t xml:space="preserve">
</t>
    </r>
    <r>
      <rPr>
        <sz val="11"/>
        <color rgb="FF000000"/>
        <rFont val="Calibri"/>
      </rPr>
      <t xml:space="preserve">    {"enabled": false, "name": "TLS_ECDHE_RSA_WITH_AES_128_CBC_SHA"},</t>
    </r>
    <r>
      <rPr>
        <sz val="11"/>
        <color rgb="FF000000"/>
        <rFont val="Calibri"/>
      </rPr>
      <t xml:space="preserve">
</t>
    </r>
    <r>
      <rPr>
        <sz val="11"/>
        <color rgb="FF000000"/>
        <rFont val="Calibri"/>
      </rPr>
      <t xml:space="preserve">    {"enabled": false, "name": "TLS_RSA_WITH_AES_128_CBC_SHA"}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"protocol_versions": [</t>
    </r>
    <r>
      <rPr>
        <sz val="11"/>
        <color rgb="FF000000"/>
        <rFont val="Calibri"/>
      </rPr>
      <t xml:space="preserve">
</t>
    </r>
    <r>
      <rPr>
        <sz val="11"/>
        <color rgb="FF000000"/>
        <rFont val="Calibri"/>
      </rPr>
      <t xml:space="preserve">    {"enabled": false, "name": "TLSv1.1"},</t>
    </r>
    <r>
      <rPr>
        <sz val="11"/>
        <color rgb="FF000000"/>
        <rFont val="Calibri"/>
      </rPr>
      <t xml:space="preserve">
</t>
    </r>
    <r>
      <rPr>
        <sz val="11"/>
        <color rgb="FF000000"/>
        <rFont val="Calibri"/>
      </rPr>
      <t xml:space="preserve">    {"enabled": true, "name": "TLSv1.2"}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Changes are applied to all nodes in the cluster. The API service on each node will restart after it is updated using this API. There may be a delay of up to a minute or so between the time this API call completes and when the new configuration goes into effect.</t>
    </r>
  </si>
  <si>
    <r>
      <rPr>
        <sz val="11"/>
        <color rgb="FF000000"/>
        <rFont val="Calibri"/>
      </rPr>
      <t>TLS 1.0 and 1.1 are deprecated protocols with well-published shortcomings and vulnerabilities. TLS 1.2 must be enabled on all interfaces and TLS 1.1 and 1.0 disabled where supported.</t>
    </r>
  </si>
  <si>
    <r>
      <rPr>
        <sz val="11"/>
        <color rgb="FF000000"/>
        <rFont val="Calibri"/>
      </rPr>
      <t>Viewing TLS protocol enablement must be done via the API.</t>
    </r>
    <r>
      <rPr>
        <sz val="11"/>
        <color rgb="FF000000"/>
        <rFont val="Calibri"/>
      </rPr>
      <t xml:space="preserve">
</t>
    </r>
    <r>
      <rPr>
        <sz val="11"/>
        <color rgb="FF000000"/>
        <rFont val="Calibri"/>
      </rPr>
      <t>Execute the following API call using curl or another REST API client:</t>
    </r>
    <r>
      <rPr>
        <sz val="11"/>
        <color rgb="FF000000"/>
        <rFont val="Calibri"/>
      </rPr>
      <t xml:space="preserve">
</t>
    </r>
    <r>
      <rPr>
        <sz val="11"/>
        <color rgb="FF000000"/>
        <rFont val="Calibri"/>
      </rPr>
      <t>GET https://&lt;nsx-mgr&gt;/api/v1/cluster/api-service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"protocol_versions":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"TLSv1.1",</t>
    </r>
    <r>
      <rPr>
        <sz val="11"/>
        <color rgb="FF000000"/>
        <rFont val="Calibri"/>
      </rPr>
      <t xml:space="preserve">
</t>
    </r>
    <r>
      <rPr>
        <sz val="11"/>
        <color rgb="FF000000"/>
        <rFont val="Calibri"/>
      </rPr>
      <t xml:space="preserve">            "enabled": 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"TLSv1.2",</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TLS 1.1 is enabled, this is a finding.</t>
    </r>
  </si>
  <si>
    <t>V-251799</t>
  </si>
  <si>
    <r>
      <rPr>
        <sz val="11"/>
        <rFont val="Calibri"/>
      </rPr>
      <t>The NSX-T Manager must disable SNMP v2.</t>
    </r>
  </si>
  <si>
    <r>
      <rPr>
        <sz val="11"/>
        <color rgb="FF000000"/>
        <rFont val="Calibri"/>
      </rPr>
      <t>From the NSX-T Manager web interface, go to the System &gt;&gt; Fabric &gt;&gt; Profiles &gt;&gt; Node Profiles.</t>
    </r>
    <r>
      <rPr>
        <sz val="11"/>
        <color rgb="FF000000"/>
        <rFont val="Calibri"/>
      </rPr>
      <t xml:space="preserve">
</t>
    </r>
    <r>
      <rPr>
        <sz val="11"/>
        <color rgb="FF000000"/>
        <rFont val="Calibri"/>
      </rPr>
      <t>Click on "All NSX Nodes" and delete and v2c Polling or Trap configurations.</t>
    </r>
  </si>
  <si>
    <r>
      <rPr>
        <sz val="11"/>
        <color rgb="FF000000"/>
        <rFont val="Calibri"/>
      </rPr>
      <t>SNMPv3 supports commercial-grade security, including authentication, authorization, access control, and privacy. Previous versions of the protocol contained well-known security weaknesses that were easily exploited. As such, SNMPv1/2 receivers must be disabled.</t>
    </r>
  </si>
  <si>
    <r>
      <rPr>
        <sz val="11"/>
        <color rgb="FF000000"/>
        <rFont val="Calibri"/>
      </rPr>
      <t>From the NSX-T Manager web interface, go to the System &gt;&gt; Fabric &gt;&gt; Profiles &gt;&gt; Node Profiles.</t>
    </r>
    <r>
      <rPr>
        <sz val="11"/>
        <color rgb="FF000000"/>
        <rFont val="Calibri"/>
      </rPr>
      <t xml:space="preserve">
</t>
    </r>
    <r>
      <rPr>
        <sz val="11"/>
        <color rgb="FF000000"/>
        <rFont val="Calibri"/>
      </rPr>
      <t>Click "All NSX Nodes" and view the SNMP Polling and Traps configuration.</t>
    </r>
    <r>
      <rPr>
        <sz val="11"/>
        <color rgb="FF000000"/>
        <rFont val="Calibri"/>
      </rPr>
      <t xml:space="preserve">
</t>
    </r>
    <r>
      <rPr>
        <sz val="11"/>
        <color rgb="FF000000"/>
        <rFont val="Calibri"/>
      </rPr>
      <t>If SNMP v2c Polling or Traps are configured, this is a finding.</t>
    </r>
  </si>
  <si>
    <t>V-251800</t>
  </si>
  <si>
    <r>
      <rPr>
        <sz val="11"/>
        <rFont val="Calibri"/>
      </rPr>
      <t>The NSX-T Manager must enable the global FIPS compliance mode for load balancers.</t>
    </r>
  </si>
  <si>
    <r>
      <rPr>
        <sz val="11"/>
        <color rgb="FF000000"/>
        <rFont val="Calibri"/>
      </rPr>
      <t>Execute the following API call using curl or another REST API client:</t>
    </r>
    <r>
      <rPr>
        <sz val="11"/>
        <color rgb="FF000000"/>
        <rFont val="Calibri"/>
      </rPr>
      <t xml:space="preserve">
</t>
    </r>
    <r>
      <rPr>
        <sz val="11"/>
        <color rgb="FF000000"/>
        <rFont val="Calibri"/>
      </rPr>
      <t>PUT https://&lt;nsx-mgr&gt;/policy/api/v1/infra/global-config</t>
    </r>
    <r>
      <rPr>
        <sz val="11"/>
        <color rgb="FF000000"/>
        <rFont val="Calibri"/>
      </rPr>
      <t xml:space="preserve">
</t>
    </r>
    <r>
      <rPr>
        <sz val="11"/>
        <color rgb="FF000000"/>
        <rFont val="Calibri"/>
      </rPr>
      <t>Example request body:</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"fips": {</t>
    </r>
    <r>
      <rPr>
        <sz val="11"/>
        <color rgb="FF000000"/>
        <rFont val="Calibri"/>
      </rPr>
      <t xml:space="preserve">
</t>
    </r>
    <r>
      <rPr>
        <sz val="11"/>
        <color rgb="FF000000"/>
        <rFont val="Calibri"/>
      </rPr>
      <t xml:space="preserve">        "lb_fips_enabled":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"resource_type": "GlobalConfig",</t>
    </r>
    <r>
      <rPr>
        <sz val="11"/>
        <color rgb="FF000000"/>
        <rFont val="Calibri"/>
      </rPr>
      <t xml:space="preserve">
</t>
    </r>
    <r>
      <rPr>
        <sz val="11"/>
        <color rgb="FF000000"/>
        <rFont val="Calibri"/>
      </rPr>
      <t xml:space="preserve">    "_revision": 2</t>
    </r>
    <r>
      <rPr>
        <sz val="11"/>
        <color rgb="FF000000"/>
        <rFont val="Calibri"/>
      </rPr>
      <t xml:space="preserve">
</t>
    </r>
    <r>
      <rPr>
        <sz val="11"/>
        <color rgb="FF000000"/>
        <rFont val="Calibri"/>
      </rPr>
      <t>}</t>
    </r>
    <r>
      <rPr>
        <sz val="11"/>
        <color rgb="FF000000"/>
        <rFont val="Calibri"/>
      </rPr>
      <t xml:space="preserve">
</t>
    </r>
    <r>
      <rPr>
        <sz val="11"/>
        <color rgb="FF000000"/>
        <rFont val="Calibri"/>
      </rPr>
      <t>The global setting is used when the new load balancer instances are created. Changing the setting does not affect existing load balancer instances.</t>
    </r>
    <r>
      <rPr>
        <sz val="11"/>
        <color rgb="FF000000"/>
        <rFont val="Calibri"/>
      </rPr>
      <t xml:space="preserve">
</t>
    </r>
    <r>
      <rPr>
        <sz val="11"/>
        <color rgb="FF000000"/>
        <rFont val="Calibri"/>
      </rPr>
      <t>To update existing load balancers to use this setting, do the following:</t>
    </r>
    <r>
      <rPr>
        <sz val="11"/>
        <color rgb="FF000000"/>
        <rFont val="Calibri"/>
      </rPr>
      <t xml:space="preserve">
</t>
    </r>
    <r>
      <rPr>
        <sz val="11"/>
        <color rgb="FF000000"/>
        <rFont val="Calibri"/>
      </rPr>
      <t>From the NSX-T Manager web interface, go to the Networking &gt;&gt; Load Balancing  and then click "Edit" on the target load balancer.</t>
    </r>
    <r>
      <rPr>
        <sz val="11"/>
        <color rgb="FF000000"/>
        <rFont val="Calibri"/>
      </rPr>
      <t xml:space="preserve">
</t>
    </r>
    <r>
      <rPr>
        <sz val="11"/>
        <color rgb="FF000000"/>
        <rFont val="Calibri"/>
      </rPr>
      <t>In the attachment field, click the "X" to detach the load balancer from its current Gateway and click "Save".</t>
    </r>
    <r>
      <rPr>
        <sz val="11"/>
        <color rgb="FF000000"/>
        <rFont val="Calibri"/>
      </rPr>
      <t xml:space="preserve">
</t>
    </r>
    <r>
      <rPr>
        <sz val="11"/>
        <color rgb="FF000000"/>
        <rFont val="Calibri"/>
      </rPr>
      <t>Edit the target load balancer again, reattach it to its Gateway, and then click "Save".</t>
    </r>
    <r>
      <rPr>
        <sz val="11"/>
        <color rgb="FF000000"/>
        <rFont val="Calibri"/>
      </rPr>
      <t xml:space="preserve">
</t>
    </r>
    <r>
      <rPr>
        <sz val="11"/>
        <color rgb="FF000000"/>
        <rFont val="Calibri"/>
      </rPr>
      <t>Caution: Detaching a load balancer from the tier-1 gateway results in a traffic interruption for the load balancer instance.</t>
    </r>
  </si>
  <si>
    <r>
      <rPr>
        <sz val="11"/>
        <color rgb="FF000000"/>
        <rFont val="Calibri"/>
      </rPr>
      <t>If unsecured protocols (lacking cryptographic mechanisms) are used for load balancing, the contents of those sessions will be susceptible to eavesdropping, potentially putting sensitive data at risk of compromise.</t>
    </r>
  </si>
  <si>
    <r>
      <rPr>
        <sz val="11"/>
        <color rgb="FF000000"/>
        <rFont val="Calibri"/>
      </rPr>
      <t>From the NSX-T Manager web interface, go to the Home &gt;&gt; Monitoring Dashboards &gt;&gt; Compliance Report.</t>
    </r>
    <r>
      <rPr>
        <sz val="11"/>
        <color rgb="FF000000"/>
        <rFont val="Calibri"/>
      </rPr>
      <t xml:space="preserve">
</t>
    </r>
    <r>
      <rPr>
        <sz val="11"/>
        <color rgb="FF000000"/>
        <rFont val="Calibri"/>
      </rPr>
      <t>Review the compliance report for code 72024 with description Load balancer FIPS global setting disabled.</t>
    </r>
    <r>
      <rPr>
        <sz val="11"/>
        <color rgb="FF000000"/>
        <rFont val="Calibri"/>
      </rPr>
      <t xml:space="preserve">
</t>
    </r>
    <r>
      <rPr>
        <sz val="11"/>
        <color rgb="FF000000"/>
        <rFont val="Calibri"/>
      </rPr>
      <t>Note: This may also be checked via the API call GET https://&lt;nsx-mgr&gt;/policy/api/v1/infra/global-config</t>
    </r>
    <r>
      <rPr>
        <sz val="11"/>
        <color rgb="FF000000"/>
        <rFont val="Calibri"/>
      </rPr>
      <t xml:space="preserve">
</t>
    </r>
    <r>
      <rPr>
        <sz val="11"/>
        <color rgb="FF000000"/>
        <rFont val="Calibri"/>
      </rPr>
      <t>If the global FIPS setting is disabled for load balancers,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</si>
  <si>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</si>
  <si>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</si>
  <si>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</si>
  <si>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</si>
  <si>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</si>
  <si>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</si>
  <si>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</si>
  <si>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</si>
  <si>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</si>
  <si>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</si>
  <si>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</si>
  <si>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</si>
  <si>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</si>
  <si>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</si>
  <si>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</si>
  <si>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</si>
  <si>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</si>
  <si>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</si>
  <si>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</si>
  <si>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</si>
  <si>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</si>
  <si>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</si>
  <si>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</si>
  <si>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</si>
  <si>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</si>
  <si>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</si>
  <si>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</si>
  <si>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</si>
  <si>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</si>
  <si>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VMware NSX-T Security Technical Implementation Guide Y23M07</t>
  </si>
  <si>
    <t>Developed By:</t>
  </si>
  <si>
    <t>VMware and Defense Information Systems Agency (DISA) for the US DoD</t>
  </si>
  <si>
    <t>Release Information:</t>
  </si>
  <si>
    <r>
      <rPr>
        <b/>
        <sz val="11"/>
        <color rgb="FF000000"/>
        <rFont val="Calibri"/>
      </rPr>
      <t>Version:</t>
    </r>
    <r>
      <rPr>
        <sz val="11"/>
        <color rgb="FF000000"/>
        <rFont val="Calibri"/>
      </rPr>
      <t xml:space="preserve"> Y23M07    </t>
    </r>
    <r>
      <rPr>
        <b/>
        <sz val="11"/>
        <color rgb="FF000000"/>
        <rFont val="Calibri"/>
      </rPr>
      <t>Date:</t>
    </r>
    <r>
      <rPr>
        <sz val="11"/>
        <color rgb="FF000000"/>
        <rFont val="Calibri"/>
      </rPr>
      <t xml:space="preserve"> 26 July 2023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68</t>
    </r>
  </si>
  <si>
    <t>Download Url:</t>
  </si>
  <si>
    <t>https://www.cyber.mil/stigs</t>
  </si>
  <si>
    <t>Guide Overview:</t>
  </si>
  <si>
    <r>
      <rPr>
        <sz val="11"/>
        <color rgb="FF000000"/>
        <rFont val="Calibri"/>
      </rPr>
      <t>With network virtualization, the functional equivalent of a network hypervisor reproduces the complete set of Layer 2 through Layer 7 networking services (for example, switching, routing, access control, firewalling, Quality-of-Service [QoS]) in software. As a result, these services can be programmatically assembled in any arbitrary combination to produce unique, isolated virtual networks.</t>
    </r>
    <r>
      <rPr>
        <sz val="11"/>
        <color rgb="FF000000"/>
        <rFont val="Calibri"/>
      </rPr>
      <t xml:space="preserve">
</t>
    </r>
    <r>
      <rPr>
        <sz val="11"/>
        <color rgb="FF000000"/>
        <rFont val="Calibri"/>
      </rPr>
      <t>NSX-T Data Center works by implementing three separate but integrated planes: management, control, and data. The three planes are implemented as a set of processes, modules, and agents residing on three types of nodes: manager, controller, and transport.</t>
    </r>
    <r>
      <rPr>
        <sz val="11"/>
        <color rgb="FF000000"/>
        <rFont val="Calibri"/>
      </rPr>
      <t xml:space="preserve">
</t>
    </r>
    <r>
      <rPr>
        <sz val="11"/>
        <color rgb="FF000000"/>
        <rFont val="Calibri"/>
      </rPr>
      <t>The VMware NSX-T 3.x Security Technical Implementation Guides (STIGs) provide security policy and technical configuration requirements for the use of NSX-T 3.x in the Department of Defense (DOD). The VMware NSX-T 3.x STIG comprises the following individual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NSX-T 3.x Manager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NSX-T 3.x SDN Controller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NSX-T 3.x Distributed Firewall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NSX-T 3.x Tier-0 Gateway Router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NSX-T 3.x Tier-0 Gateway Firewall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NSX-T 3.x Tier-1 Gateway Router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NSX-T 3.x Tier-1 Gateway Firewall STIG.</t>
    </r>
  </si>
  <si>
    <t>Components:</t>
  </si>
  <si>
    <r>
      <rPr>
        <i/>
        <sz val="11"/>
        <color rgb="FF000000"/>
        <rFont val="Calibri"/>
      </rPr>
      <t>Title:</t>
    </r>
    <r>
      <rPr>
        <sz val="11"/>
        <color rgb="FF000000"/>
        <rFont val="Calibri"/>
      </rPr>
      <t xml:space="preserve"> VMware NSX-T Distributed Firewall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26 July 2023     </t>
    </r>
    <r>
      <rPr>
        <i/>
        <sz val="11"/>
        <color rgb="FF000000"/>
        <rFont val="Calibri"/>
      </rPr>
      <t>Recommendation Count:</t>
    </r>
    <r>
      <rPr>
        <sz val="11"/>
        <color rgb="FF000000"/>
        <rFont val="Calibri"/>
      </rPr>
      <t xml:space="preserve"> 7</t>
    </r>
  </si>
  <si>
    <r>
      <rPr>
        <i/>
        <sz val="11"/>
        <color rgb="FF000000"/>
        <rFont val="Calibri"/>
      </rPr>
      <t>Title:</t>
    </r>
    <r>
      <rPr>
        <sz val="11"/>
        <color rgb="FF000000"/>
        <rFont val="Calibri"/>
      </rPr>
      <t xml:space="preserve"> VMware NSX-T SDN Controller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30 March 2022     </t>
    </r>
    <r>
      <rPr>
        <i/>
        <sz val="11"/>
        <color rgb="FF000000"/>
        <rFont val="Calibri"/>
      </rPr>
      <t>Recommendation Count:</t>
    </r>
    <r>
      <rPr>
        <sz val="11"/>
        <color rgb="FF000000"/>
        <rFont val="Calibri"/>
      </rPr>
      <t xml:space="preserve"> 2</t>
    </r>
  </si>
  <si>
    <r>
      <rPr>
        <i/>
        <sz val="11"/>
        <color rgb="FF000000"/>
        <rFont val="Calibri"/>
      </rPr>
      <t>Title:</t>
    </r>
    <r>
      <rPr>
        <sz val="11"/>
        <color rgb="FF000000"/>
        <rFont val="Calibri"/>
      </rPr>
      <t xml:space="preserve"> VMware NSX-T Tier-0 Gateway Firewall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26 July 2023     </t>
    </r>
    <r>
      <rPr>
        <i/>
        <sz val="11"/>
        <color rgb="FF000000"/>
        <rFont val="Calibri"/>
      </rPr>
      <t>Recommendation Count:</t>
    </r>
    <r>
      <rPr>
        <sz val="11"/>
        <color rgb="FF000000"/>
        <rFont val="Calibri"/>
      </rPr>
      <t xml:space="preserve"> 7</t>
    </r>
  </si>
  <si>
    <r>
      <rPr>
        <i/>
        <sz val="11"/>
        <color rgb="FF000000"/>
        <rFont val="Calibri"/>
      </rPr>
      <t>Title:</t>
    </r>
    <r>
      <rPr>
        <sz val="11"/>
        <color rgb="FF000000"/>
        <rFont val="Calibri"/>
      </rPr>
      <t xml:space="preserve"> VMware NSX-T Tier-0 Gateway RTR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02 September 2022     </t>
    </r>
    <r>
      <rPr>
        <i/>
        <sz val="11"/>
        <color rgb="FF000000"/>
        <rFont val="Calibri"/>
      </rPr>
      <t>Recommendation Count:</t>
    </r>
    <r>
      <rPr>
        <sz val="11"/>
        <color rgb="FF000000"/>
        <rFont val="Calibri"/>
      </rPr>
      <t xml:space="preserve"> 16</t>
    </r>
  </si>
  <si>
    <r>
      <rPr>
        <i/>
        <sz val="11"/>
        <color rgb="FF000000"/>
        <rFont val="Calibri"/>
      </rPr>
      <t>Title:</t>
    </r>
    <r>
      <rPr>
        <sz val="11"/>
        <color rgb="FF000000"/>
        <rFont val="Calibri"/>
      </rPr>
      <t xml:space="preserve"> VMware NSX-T Tier 1 Gateway Firewall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26 July 2023     </t>
    </r>
    <r>
      <rPr>
        <i/>
        <sz val="11"/>
        <color rgb="FF000000"/>
        <rFont val="Calibri"/>
      </rPr>
      <t>Recommendation Count:</t>
    </r>
    <r>
      <rPr>
        <sz val="11"/>
        <color rgb="FF000000"/>
        <rFont val="Calibri"/>
      </rPr>
      <t xml:space="preserve"> 9</t>
    </r>
  </si>
  <si>
    <r>
      <rPr>
        <i/>
        <sz val="11"/>
        <color rgb="FF000000"/>
        <rFont val="Calibri"/>
      </rPr>
      <t>Title:</t>
    </r>
    <r>
      <rPr>
        <sz val="11"/>
        <color rgb="FF000000"/>
        <rFont val="Calibri"/>
      </rPr>
      <t xml:space="preserve"> VMware NSX-T Tier 1 Gateway RTR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30 March 2022     </t>
    </r>
    <r>
      <rPr>
        <i/>
        <sz val="11"/>
        <color rgb="FF000000"/>
        <rFont val="Calibri"/>
      </rPr>
      <t>Recommendation Count:</t>
    </r>
    <r>
      <rPr>
        <sz val="11"/>
        <color rgb="FF000000"/>
        <rFont val="Calibri"/>
      </rPr>
      <t xml:space="preserve"> 4</t>
    </r>
  </si>
  <si>
    <r>
      <rPr>
        <i/>
        <sz val="11"/>
        <color rgb="FF000000"/>
        <rFont val="Calibri"/>
      </rPr>
      <t>Title:</t>
    </r>
    <r>
      <rPr>
        <sz val="11"/>
        <color rgb="FF000000"/>
        <rFont val="Calibri"/>
      </rPr>
      <t xml:space="preserve"> VMware NSX-T Manager NDM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26 July 2023     </t>
    </r>
    <r>
      <rPr>
        <i/>
        <sz val="11"/>
        <color rgb="FF000000"/>
        <rFont val="Calibri"/>
      </rPr>
      <t>Recommendation Count:</t>
    </r>
    <r>
      <rPr>
        <sz val="11"/>
        <color rgb="FF000000"/>
        <rFont val="Calibri"/>
      </rPr>
      <t xml:space="preserve"> 23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</si>
  <si>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</si>
  <si>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</si>
  <si>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</si>
  <si>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</si>
  <si>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</si>
  <si>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</si>
  <si>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</si>
  <si>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</si>
  <si>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</si>
  <si>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</si>
  <si>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</si>
  <si>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</si>
  <si>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</si>
  <si>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</si>
  <si>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</si>
  <si>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</si>
  <si>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</si>
  <si>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</si>
  <si>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</si>
  <si>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</si>
  <si>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</si>
  <si>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</si>
  <si>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</si>
  <si>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</si>
  <si>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</si>
  <si>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</si>
  <si>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</si>
  <si>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</si>
  <si>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</si>
  <si>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</si>
  <si>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</si>
  <si>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</si>
  <si>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</si>
  <si>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</si>
  <si>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</si>
  <si>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</si>
  <si>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</si>
  <si>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</si>
  <si>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</si>
  <si>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</si>
  <si>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</si>
  <si>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</si>
  <si>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</si>
  <si>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</si>
  <si>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</si>
  <si>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</si>
  <si>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</si>
  <si>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VMware NSX-T Security Technical Implementation Guide Y23M07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</si>
  <si>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</si>
  <si>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</si>
  <si>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</si>
  <si>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</si>
  <si>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</si>
  <si>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</si>
  <si>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</si>
  <si>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</si>
  <si>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</si>
  <si>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</si>
  <si>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</si>
  <si>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</si>
  <si>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</si>
  <si>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</si>
  <si>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</si>
  <si>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</si>
  <si>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</si>
  <si>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</si>
  <si>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</si>
  <si>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</si>
  <si>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</si>
  <si>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</si>
  <si>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</si>
  <si>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</si>
  <si>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</si>
  <si>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</si>
  <si>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</si>
  <si>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</si>
  <si>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</si>
  <si>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</si>
  <si>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</si>
  <si>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</si>
  <si>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</si>
  <si>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</si>
  <si>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</si>
  <si>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</si>
  <si>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</si>
  <si>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</si>
  <si>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</si>
  <si>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</si>
  <si>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</si>
  <si>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</si>
  <si>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</si>
  <si>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</si>
  <si>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</si>
  <si>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</si>
  <si>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</si>
  <si>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(C94)</t>
  </si>
  <si>
    <t>% Must</t>
  </si>
  <si>
    <t>Should Count (C95)</t>
  </si>
  <si>
    <t>% Should</t>
  </si>
  <si>
    <t>Could Count (C96)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</si>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</sst>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2A3-4481-ABFF-5F4D1F23EDF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2A3-4481-ABFF-5F4D1F23EDF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68</c:v>
                </c:pt>
              </c:numCache>
            </c:numRef>
          </c:val>
          <c:extLst>
            <c:ext xmlns:c16="http://schemas.microsoft.com/office/drawing/2014/chart" uri="{C3380CC4-5D6E-409C-BE32-E72D297353CC}">
              <c16:uniqueId val="{00000002-A2A3-4481-ABFF-5F4D1F23EDF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Dashboard!$B$29:$B$35</c:f>
              <c:strCache>
                <c:ptCount val="7"/>
                <c:pt idx="0">
                  <c:v>Distributed Firewall</c:v>
                </c:pt>
                <c:pt idx="1">
                  <c:v>Manager NDM</c:v>
                </c:pt>
                <c:pt idx="2">
                  <c:v>SDN Controller</c:v>
                </c:pt>
                <c:pt idx="3">
                  <c:v>Tier 1 Gateway Firewall</c:v>
                </c:pt>
                <c:pt idx="4">
                  <c:v>Tier 1 Gateway RTR</c:v>
                </c:pt>
                <c:pt idx="5">
                  <c:v>Tier-0 Gateway Firewall</c:v>
                </c:pt>
                <c:pt idx="6">
                  <c:v>Tier-0 Gateway RTR</c:v>
                </c:pt>
              </c:strCache>
            </c:strRef>
          </c:cat>
          <c:val>
            <c:numRef>
              <c:f>Dashboard!$C$29:$C$35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708-4131-AE8E-F8092AB6CF2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Dashboard!$B$29:$B$35</c:f>
              <c:strCache>
                <c:ptCount val="7"/>
                <c:pt idx="0">
                  <c:v>Distributed Firewall</c:v>
                </c:pt>
                <c:pt idx="1">
                  <c:v>Manager NDM</c:v>
                </c:pt>
                <c:pt idx="2">
                  <c:v>SDN Controller</c:v>
                </c:pt>
                <c:pt idx="3">
                  <c:v>Tier 1 Gateway Firewall</c:v>
                </c:pt>
                <c:pt idx="4">
                  <c:v>Tier 1 Gateway RTR</c:v>
                </c:pt>
                <c:pt idx="5">
                  <c:v>Tier-0 Gateway Firewall</c:v>
                </c:pt>
                <c:pt idx="6">
                  <c:v>Tier-0 Gateway RTR</c:v>
                </c:pt>
              </c:strCache>
            </c:strRef>
          </c:cat>
          <c:val>
            <c:numRef>
              <c:f>Dashboard!$D$29:$D$35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5708-4131-AE8E-F8092AB6CF2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Dashboard!$B$29:$B$35</c:f>
              <c:strCache>
                <c:ptCount val="7"/>
                <c:pt idx="0">
                  <c:v>Distributed Firewall</c:v>
                </c:pt>
                <c:pt idx="1">
                  <c:v>Manager NDM</c:v>
                </c:pt>
                <c:pt idx="2">
                  <c:v>SDN Controller</c:v>
                </c:pt>
                <c:pt idx="3">
                  <c:v>Tier 1 Gateway Firewall</c:v>
                </c:pt>
                <c:pt idx="4">
                  <c:v>Tier 1 Gateway RTR</c:v>
                </c:pt>
                <c:pt idx="5">
                  <c:v>Tier-0 Gateway Firewall</c:v>
                </c:pt>
                <c:pt idx="6">
                  <c:v>Tier-0 Gateway RTR</c:v>
                </c:pt>
              </c:strCache>
            </c:strRef>
          </c:cat>
          <c:val>
            <c:numRef>
              <c:f>Dashboard!$E$29:$E$35</c:f>
              <c:numCache>
                <c:formatCode>General</c:formatCode>
                <c:ptCount val="7"/>
                <c:pt idx="0">
                  <c:v>7</c:v>
                </c:pt>
                <c:pt idx="1">
                  <c:v>23</c:v>
                </c:pt>
                <c:pt idx="2">
                  <c:v>2</c:v>
                </c:pt>
                <c:pt idx="3">
                  <c:v>9</c:v>
                </c:pt>
                <c:pt idx="4">
                  <c:v>4</c:v>
                </c:pt>
                <c:pt idx="5">
                  <c:v>7</c:v>
                </c:pt>
                <c:pt idx="6">
                  <c:v>16</c:v>
                </c:pt>
              </c:numCache>
            </c:numRef>
          </c:val>
          <c:extLst>
            <c:ext xmlns:c16="http://schemas.microsoft.com/office/drawing/2014/chart" uri="{C3380CC4-5D6E-409C-BE32-E72D297353CC}">
              <c16:uniqueId val="{00000002-5708-4131-AE8E-F8092AB6CF2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Dashboard!$B$54:$B$59</c:f>
              <c:strCache>
                <c:ptCount val="6"/>
                <c:pt idx="0">
                  <c:v>Phase1</c:v>
                </c:pt>
                <c:pt idx="1">
                  <c:v>Phase2</c:v>
                </c:pt>
                <c:pt idx="2">
                  <c:v>Phase3</c:v>
                </c:pt>
                <c:pt idx="3">
                  <c:v>Phase4</c:v>
                </c:pt>
                <c:pt idx="4">
                  <c:v>Phase5</c:v>
                </c:pt>
                <c:pt idx="5">
                  <c:v>Pending</c:v>
                </c:pt>
              </c:strCache>
            </c:strRef>
          </c:cat>
          <c:val>
            <c:numRef>
              <c:f>Dashboard!$C$54:$C$59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25B-4C14-909F-94554840EE4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Dashboard!$B$54:$B$59</c:f>
              <c:strCache>
                <c:ptCount val="6"/>
                <c:pt idx="0">
                  <c:v>Phase1</c:v>
                </c:pt>
                <c:pt idx="1">
                  <c:v>Phase2</c:v>
                </c:pt>
                <c:pt idx="2">
                  <c:v>Phase3</c:v>
                </c:pt>
                <c:pt idx="3">
                  <c:v>Phase4</c:v>
                </c:pt>
                <c:pt idx="4">
                  <c:v>Phase5</c:v>
                </c:pt>
                <c:pt idx="5">
                  <c:v>Pending</c:v>
                </c:pt>
              </c:strCache>
            </c:strRef>
          </c:cat>
          <c:val>
            <c:numRef>
              <c:f>Dashboard!$D$54:$D$59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25B-4C14-909F-94554840EE4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Dashboard!$B$54:$B$59</c:f>
              <c:strCache>
                <c:ptCount val="6"/>
                <c:pt idx="0">
                  <c:v>Phase1</c:v>
                </c:pt>
                <c:pt idx="1">
                  <c:v>Phase2</c:v>
                </c:pt>
                <c:pt idx="2">
                  <c:v>Phase3</c:v>
                </c:pt>
                <c:pt idx="3">
                  <c:v>Phase4</c:v>
                </c:pt>
                <c:pt idx="4">
                  <c:v>Phase5</c:v>
                </c:pt>
                <c:pt idx="5">
                  <c:v>Pending</c:v>
                </c:pt>
              </c:strCache>
            </c:strRef>
          </c:cat>
          <c:val>
            <c:numRef>
              <c:f>Dashboard!$E$54:$E$59</c:f>
              <c:numCache>
                <c:formatCode>General</c:formatCode>
                <c:ptCount val="6"/>
                <c:pt idx="0">
                  <c:v>0</c:v>
                </c:pt>
                <c:pt idx="1">
                  <c:v>0</c:v>
                </c:pt>
                <c:pt idx="2">
                  <c:v>0</c:v>
                </c:pt>
                <c:pt idx="3">
                  <c:v>0</c:v>
                </c:pt>
                <c:pt idx="4">
                  <c:v>0</c:v>
                </c:pt>
                <c:pt idx="5">
                  <c:v>68</c:v>
                </c:pt>
              </c:numCache>
            </c:numRef>
          </c:val>
          <c:extLst>
            <c:ext xmlns:c16="http://schemas.microsoft.com/office/drawing/2014/chart" uri="{C3380CC4-5D6E-409C-BE32-E72D297353CC}">
              <c16:uniqueId val="{00000002-625B-4C14-909F-94554840EE4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Dashboard!$B$77:$B$79</c:f>
              <c:strCache>
                <c:ptCount val="3"/>
                <c:pt idx="0">
                  <c:v>CAT I (High)</c:v>
                </c:pt>
                <c:pt idx="1">
                  <c:v>CAT II (Medium)</c:v>
                </c:pt>
                <c:pt idx="2">
                  <c:v>CAT III (Low)</c:v>
                </c:pt>
              </c:strCache>
            </c:strRef>
          </c:cat>
          <c:val>
            <c:numRef>
              <c:f>Dashboard!$C$77:$C$79</c:f>
              <c:numCache>
                <c:formatCode>General</c:formatCode>
                <c:ptCount val="3"/>
                <c:pt idx="0">
                  <c:v>0</c:v>
                </c:pt>
                <c:pt idx="1">
                  <c:v>0</c:v>
                </c:pt>
                <c:pt idx="2">
                  <c:v>0</c:v>
                </c:pt>
              </c:numCache>
            </c:numRef>
          </c:val>
          <c:extLst>
            <c:ext xmlns:c16="http://schemas.microsoft.com/office/drawing/2014/chart" uri="{C3380CC4-5D6E-409C-BE32-E72D297353CC}">
              <c16:uniqueId val="{00000000-9077-4F6D-82BA-4E24440A36D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Dashboard!$B$77:$B$79</c:f>
              <c:strCache>
                <c:ptCount val="3"/>
                <c:pt idx="0">
                  <c:v>CAT I (High)</c:v>
                </c:pt>
                <c:pt idx="1">
                  <c:v>CAT II (Medium)</c:v>
                </c:pt>
                <c:pt idx="2">
                  <c:v>CAT III (Low)</c:v>
                </c:pt>
              </c:strCache>
            </c:strRef>
          </c:cat>
          <c:val>
            <c:numRef>
              <c:f>Dashboard!$D$77:$D$79</c:f>
              <c:numCache>
                <c:formatCode>General</c:formatCode>
                <c:ptCount val="3"/>
                <c:pt idx="0">
                  <c:v>0</c:v>
                </c:pt>
                <c:pt idx="1">
                  <c:v>0</c:v>
                </c:pt>
                <c:pt idx="2">
                  <c:v>0</c:v>
                </c:pt>
              </c:numCache>
            </c:numRef>
          </c:val>
          <c:extLst>
            <c:ext xmlns:c16="http://schemas.microsoft.com/office/drawing/2014/chart" uri="{C3380CC4-5D6E-409C-BE32-E72D297353CC}">
              <c16:uniqueId val="{00000001-9077-4F6D-82BA-4E24440A36D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Dashboard!$B$77:$B$79</c:f>
              <c:strCache>
                <c:ptCount val="3"/>
                <c:pt idx="0">
                  <c:v>CAT I (High)</c:v>
                </c:pt>
                <c:pt idx="1">
                  <c:v>CAT II (Medium)</c:v>
                </c:pt>
                <c:pt idx="2">
                  <c:v>CAT III (Low)</c:v>
                </c:pt>
              </c:strCache>
            </c:strRef>
          </c:cat>
          <c:val>
            <c:numRef>
              <c:f>Dashboard!$E$77:$E$79</c:f>
              <c:numCache>
                <c:formatCode>General</c:formatCode>
                <c:ptCount val="3"/>
                <c:pt idx="0">
                  <c:v>8</c:v>
                </c:pt>
                <c:pt idx="1">
                  <c:v>49</c:v>
                </c:pt>
                <c:pt idx="2">
                  <c:v>11</c:v>
                </c:pt>
              </c:numCache>
            </c:numRef>
          </c:val>
          <c:extLst>
            <c:ext xmlns:c16="http://schemas.microsoft.com/office/drawing/2014/chart" uri="{C3380CC4-5D6E-409C-BE32-E72D297353CC}">
              <c16:uniqueId val="{00000002-9077-4F6D-82BA-4E24440A36D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Dashboard!$B$94:$B$98</c:f>
              <c:strCache>
                <c:ptCount val="5"/>
                <c:pt idx="0">
                  <c:v>Must</c:v>
                </c:pt>
                <c:pt idx="1">
                  <c:v>Should</c:v>
                </c:pt>
                <c:pt idx="2">
                  <c:v>Could</c:v>
                </c:pt>
                <c:pt idx="3">
                  <c:v>Won't</c:v>
                </c:pt>
                <c:pt idx="4">
                  <c:v>Unassigned</c:v>
                </c:pt>
              </c:strCache>
            </c:strRef>
          </c:cat>
          <c:val>
            <c:numRef>
              <c:f>Dashboard!$C$94:$C$98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462-4E05-9289-0046802D0A7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Dashboard!$B$94:$B$98</c:f>
              <c:strCache>
                <c:ptCount val="5"/>
                <c:pt idx="0">
                  <c:v>Must</c:v>
                </c:pt>
                <c:pt idx="1">
                  <c:v>Should</c:v>
                </c:pt>
                <c:pt idx="2">
                  <c:v>Could</c:v>
                </c:pt>
                <c:pt idx="3">
                  <c:v>Won't</c:v>
                </c:pt>
                <c:pt idx="4">
                  <c:v>Unassigned</c:v>
                </c:pt>
              </c:strCache>
            </c:strRef>
          </c:cat>
          <c:val>
            <c:numRef>
              <c:f>Dashboard!$D$94:$D$98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462-4E05-9289-0046802D0A7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Dashboard!$B$94:$B$98</c:f>
              <c:strCache>
                <c:ptCount val="5"/>
                <c:pt idx="0">
                  <c:v>Must</c:v>
                </c:pt>
                <c:pt idx="1">
                  <c:v>Should</c:v>
                </c:pt>
                <c:pt idx="2">
                  <c:v>Could</c:v>
                </c:pt>
                <c:pt idx="3">
                  <c:v>Won't</c:v>
                </c:pt>
                <c:pt idx="4">
                  <c:v>Unassigned</c:v>
                </c:pt>
              </c:strCache>
            </c:strRef>
          </c:cat>
          <c:val>
            <c:numRef>
              <c:f>Dashboard!$E$94:$E$98</c:f>
              <c:numCache>
                <c:formatCode>General</c:formatCode>
                <c:ptCount val="5"/>
                <c:pt idx="0">
                  <c:v>0</c:v>
                </c:pt>
                <c:pt idx="1">
                  <c:v>0</c:v>
                </c:pt>
                <c:pt idx="2">
                  <c:v>0</c:v>
                </c:pt>
                <c:pt idx="3">
                  <c:v>0</c:v>
                </c:pt>
                <c:pt idx="4">
                  <c:v>68</c:v>
                </c:pt>
              </c:numCache>
            </c:numRef>
          </c:val>
          <c:extLst>
            <c:ext xmlns:c16="http://schemas.microsoft.com/office/drawing/2014/chart" uri="{C3380CC4-5D6E-409C-BE32-E72D297353CC}">
              <c16:uniqueId val="{00000002-9462-4E05-9289-0046802D0A7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Dashboard!$B$115:$B$118</c:f>
              <c:strCache>
                <c:ptCount val="4"/>
                <c:pt idx="0">
                  <c:v>Low</c:v>
                </c:pt>
                <c:pt idx="1">
                  <c:v>Medium</c:v>
                </c:pt>
                <c:pt idx="2">
                  <c:v>High</c:v>
                </c:pt>
                <c:pt idx="3">
                  <c:v>Unassessed</c:v>
                </c:pt>
              </c:strCache>
            </c:strRef>
          </c:cat>
          <c:val>
            <c:numRef>
              <c:f>Dashboard!$C$115:$C$118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B97-4E23-B91A-E162E019FC0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Dashboard!$B$115:$B$118</c:f>
              <c:strCache>
                <c:ptCount val="4"/>
                <c:pt idx="0">
                  <c:v>Low</c:v>
                </c:pt>
                <c:pt idx="1">
                  <c:v>Medium</c:v>
                </c:pt>
                <c:pt idx="2">
                  <c:v>High</c:v>
                </c:pt>
                <c:pt idx="3">
                  <c:v>Unassessed</c:v>
                </c:pt>
              </c:strCache>
            </c:strRef>
          </c:cat>
          <c:val>
            <c:numRef>
              <c:f>Dashboard!$D$115:$D$118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B97-4E23-B91A-E162E019FC0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Dashboard!$B$115:$B$118</c:f>
              <c:strCache>
                <c:ptCount val="4"/>
                <c:pt idx="0">
                  <c:v>Low</c:v>
                </c:pt>
                <c:pt idx="1">
                  <c:v>Medium</c:v>
                </c:pt>
                <c:pt idx="2">
                  <c:v>High</c:v>
                </c:pt>
                <c:pt idx="3">
                  <c:v>Unassessed</c:v>
                </c:pt>
              </c:strCache>
            </c:strRef>
          </c:cat>
          <c:val>
            <c:numRef>
              <c:f>Dashboard!$E$115:$E$118</c:f>
              <c:numCache>
                <c:formatCode>General</c:formatCode>
                <c:ptCount val="4"/>
                <c:pt idx="0">
                  <c:v>0</c:v>
                </c:pt>
                <c:pt idx="1">
                  <c:v>0</c:v>
                </c:pt>
                <c:pt idx="2">
                  <c:v>0</c:v>
                </c:pt>
                <c:pt idx="3">
                  <c:v>68</c:v>
                </c:pt>
              </c:numCache>
            </c:numRef>
          </c:val>
          <c:extLst>
            <c:ext xmlns:c16="http://schemas.microsoft.com/office/drawing/2014/chart" uri="{C3380CC4-5D6E-409C-BE32-E72D297353CC}">
              <c16:uniqueId val="{00000002-AB97-4E23-B91A-E162E019FC0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Dashboard!$P$151:$P$180</c:f>
              <c:numCache>
                <c:formatCode>yyyy\-mm\-dd</c:formatCode>
                <c:ptCount val="30"/>
              </c:numCache>
            </c:numRef>
          </c:cat>
          <c:val>
            <c:numRef>
              <c:f>Dashboard!$R$151:$R$180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366-4E87-BAC0-BC4C5CC4B443}"/>
            </c:ext>
          </c:extLst>
        </c:ser>
        <c:ser>
          <c:idx val="1"/>
          <c:order val="1"/>
          <c:tx>
            <c:v>Must % Resolved</c:v>
          </c:tx>
          <c:spPr>
            <a:ln w="22225" cap="rnd">
              <a:solidFill>
                <a:schemeClr val="accent2"/>
              </a:solidFill>
              <a:round/>
            </a:ln>
            <a:effectLst/>
          </c:spPr>
          <c:marker>
            <c:symbol val="none"/>
          </c:marker>
          <c:cat>
            <c:numRef>
              <c:f>Dashboard!$P$151:$P$180</c:f>
              <c:numCache>
                <c:formatCode>yyyy\-mm\-dd</c:formatCode>
                <c:ptCount val="30"/>
              </c:numCache>
            </c:numRef>
          </c:cat>
          <c:val>
            <c:numRef>
              <c:f>Dashboard!$T$151:$T$180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366-4E87-BAC0-BC4C5CC4B443}"/>
            </c:ext>
          </c:extLst>
        </c:ser>
        <c:ser>
          <c:idx val="2"/>
          <c:order val="2"/>
          <c:tx>
            <c:v>Should % Resolved</c:v>
          </c:tx>
          <c:spPr>
            <a:ln w="22225" cap="rnd">
              <a:solidFill>
                <a:schemeClr val="accent3"/>
              </a:solidFill>
              <a:round/>
            </a:ln>
            <a:effectLst/>
          </c:spPr>
          <c:marker>
            <c:symbol val="none"/>
          </c:marker>
          <c:cat>
            <c:numRef>
              <c:f>Dashboard!$P$151:$P$180</c:f>
              <c:numCache>
                <c:formatCode>yyyy\-mm\-dd</c:formatCode>
                <c:ptCount val="30"/>
              </c:numCache>
            </c:numRef>
          </c:cat>
          <c:val>
            <c:numRef>
              <c:f>Dashboard!$V$151:$V$180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366-4E87-BAC0-BC4C5CC4B443}"/>
            </c:ext>
          </c:extLst>
        </c:ser>
        <c:ser>
          <c:idx val="3"/>
          <c:order val="3"/>
          <c:tx>
            <c:v>Could % Resolved</c:v>
          </c:tx>
          <c:spPr>
            <a:ln w="22225" cap="rnd">
              <a:solidFill>
                <a:schemeClr val="accent4"/>
              </a:solidFill>
              <a:round/>
            </a:ln>
            <a:effectLst/>
          </c:spPr>
          <c:marker>
            <c:symbol val="none"/>
          </c:marker>
          <c:cat>
            <c:numRef>
              <c:f>Dashboard!$P$151:$P$180</c:f>
              <c:numCache>
                <c:formatCode>yyyy\-mm\-dd</c:formatCode>
                <c:ptCount val="30"/>
              </c:numCache>
            </c:numRef>
          </c:cat>
          <c:val>
            <c:numRef>
              <c:f>Dashboard!$X$151:$X$180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366-4E87-BAC0-BC4C5CC4B44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Dashboard!$P$193:$P$212</c:f>
              <c:numCache>
                <c:formatCode>yyyy\-mm\-dd</c:formatCode>
                <c:ptCount val="20"/>
              </c:numCache>
            </c:numRef>
          </c:cat>
          <c:val>
            <c:numRef>
              <c:f>Dashboard!$R$193:$R$212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012-47D6-AFA0-5ACA4D4E8C6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nd5u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t5nie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51</xdr:row>
      <xdr:rowOff>95250</xdr:rowOff>
    </xdr:from>
    <xdr:to>
      <xdr:col>15</xdr:col>
      <xdr:colOff>28575</xdr:colOff>
      <xdr:row>68</xdr:row>
      <xdr:rowOff>0</xdr:rowOff>
    </xdr:to>
    <xdr:graphicFrame macro="">
      <xdr:nvGraphicFramePr>
        <xdr:cNvPr id="4" name="Chart04fej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71</xdr:row>
      <xdr:rowOff>95250</xdr:rowOff>
    </xdr:from>
    <xdr:to>
      <xdr:col>15</xdr:col>
      <xdr:colOff>28575</xdr:colOff>
      <xdr:row>86</xdr:row>
      <xdr:rowOff>47625</xdr:rowOff>
    </xdr:to>
    <xdr:graphicFrame macro="">
      <xdr:nvGraphicFramePr>
        <xdr:cNvPr id="5" name="Chartwykmg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90</xdr:row>
      <xdr:rowOff>95250</xdr:rowOff>
    </xdr:from>
    <xdr:to>
      <xdr:col>15</xdr:col>
      <xdr:colOff>28575</xdr:colOff>
      <xdr:row>106</xdr:row>
      <xdr:rowOff>0</xdr:rowOff>
    </xdr:to>
    <xdr:graphicFrame macro="">
      <xdr:nvGraphicFramePr>
        <xdr:cNvPr id="6" name="Chartnobm3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109</xdr:row>
      <xdr:rowOff>95250</xdr:rowOff>
    </xdr:from>
    <xdr:to>
      <xdr:col>15</xdr:col>
      <xdr:colOff>28575</xdr:colOff>
      <xdr:row>124</xdr:row>
      <xdr:rowOff>142875</xdr:rowOff>
    </xdr:to>
    <xdr:graphicFrame macro="">
      <xdr:nvGraphicFramePr>
        <xdr:cNvPr id="7" name="Chartjxqdp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146</xdr:row>
      <xdr:rowOff>95250</xdr:rowOff>
    </xdr:from>
    <xdr:to>
      <xdr:col>14</xdr:col>
      <xdr:colOff>0</xdr:colOff>
      <xdr:row>169</xdr:row>
      <xdr:rowOff>38100</xdr:rowOff>
    </xdr:to>
    <xdr:graphicFrame macro="">
      <xdr:nvGraphicFramePr>
        <xdr:cNvPr id="8" name="Chartfs1ps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187</xdr:row>
      <xdr:rowOff>95250</xdr:rowOff>
    </xdr:from>
    <xdr:to>
      <xdr:col>14</xdr:col>
      <xdr:colOff>0</xdr:colOff>
      <xdr:row>205</xdr:row>
      <xdr:rowOff>123825</xdr:rowOff>
    </xdr:to>
    <xdr:graphicFrame macro="">
      <xdr:nvGraphicFramePr>
        <xdr:cNvPr id="9" name="Chartwkmoh0">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9">
  <autoFilter ref="A1:N69"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2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352</v>
      </c>
    </row>
    <row r="3" spans="2:3" ht="15" customHeight="1" x14ac:dyDescent="0.35"/>
    <row r="4" spans="2:3" ht="58" x14ac:dyDescent="0.35">
      <c r="B4" s="20" t="s">
        <v>353</v>
      </c>
      <c r="C4" s="21" t="s">
        <v>354</v>
      </c>
    </row>
    <row r="5" spans="2:3" x14ac:dyDescent="0.35">
      <c r="C5" s="21" t="s">
        <v>355</v>
      </c>
    </row>
    <row r="6" spans="2:3" x14ac:dyDescent="0.35">
      <c r="C6" s="18" t="s">
        <v>356</v>
      </c>
    </row>
    <row r="7" spans="2:3" ht="10" customHeight="1" x14ac:dyDescent="0.35"/>
    <row r="8" spans="2:3" ht="232" x14ac:dyDescent="0.35">
      <c r="B8" s="22" t="s">
        <v>357</v>
      </c>
      <c r="C8" s="21" t="s">
        <v>358</v>
      </c>
    </row>
    <row r="9" spans="2:3" ht="10" customHeight="1" x14ac:dyDescent="0.35"/>
    <row r="10" spans="2:3" ht="35" customHeight="1" x14ac:dyDescent="0.35">
      <c r="B10" s="22" t="s">
        <v>359</v>
      </c>
      <c r="C10" s="21" t="s">
        <v>360</v>
      </c>
    </row>
    <row r="11" spans="2:3" ht="75" customHeight="1" x14ac:dyDescent="0.35">
      <c r="B11" s="18" t="s">
        <v>21</v>
      </c>
      <c r="C11" s="21" t="s">
        <v>361</v>
      </c>
    </row>
    <row r="12" spans="2:3" ht="47" customHeight="1" x14ac:dyDescent="0.35">
      <c r="B12" s="18" t="s">
        <v>21</v>
      </c>
      <c r="C12" s="21" t="s">
        <v>362</v>
      </c>
    </row>
    <row r="13" spans="2:3" ht="35" customHeight="1" x14ac:dyDescent="0.35">
      <c r="B13" s="18" t="s">
        <v>21</v>
      </c>
      <c r="C13" s="21" t="s">
        <v>363</v>
      </c>
    </row>
    <row r="14" spans="2:3" ht="32" customHeight="1" x14ac:dyDescent="0.35">
      <c r="B14" s="18" t="s">
        <v>21</v>
      </c>
      <c r="C14" s="21" t="s">
        <v>364</v>
      </c>
    </row>
    <row r="15" spans="2:3" ht="30" customHeight="1" x14ac:dyDescent="0.35">
      <c r="B15" s="18" t="s">
        <v>21</v>
      </c>
      <c r="C15" s="21" t="s">
        <v>365</v>
      </c>
    </row>
    <row r="16" spans="2:3" ht="10" customHeight="1" x14ac:dyDescent="0.35"/>
    <row r="17" spans="1:3" ht="145" customHeight="1" x14ac:dyDescent="0.35">
      <c r="B17" s="22" t="s">
        <v>366</v>
      </c>
      <c r="C17" s="21" t="s">
        <v>367</v>
      </c>
    </row>
    <row r="18" spans="1:3" ht="10" customHeight="1" x14ac:dyDescent="0.35"/>
    <row r="19" spans="1:3" ht="3" customHeight="1" x14ac:dyDescent="0.35">
      <c r="B19" s="23"/>
      <c r="C19" s="23"/>
    </row>
    <row r="20" spans="1:3" ht="12" customHeight="1" x14ac:dyDescent="0.35"/>
    <row r="21" spans="1:3" ht="35" customHeight="1" x14ac:dyDescent="0.35">
      <c r="A21" s="25"/>
      <c r="B21" s="26" t="s">
        <v>368</v>
      </c>
      <c r="C21" s="27" t="s">
        <v>369</v>
      </c>
    </row>
    <row r="22" spans="1:3" ht="18" customHeight="1" x14ac:dyDescent="0.35">
      <c r="A22" s="25"/>
      <c r="B22" s="25" t="s">
        <v>21</v>
      </c>
      <c r="C22" s="27" t="s">
        <v>370</v>
      </c>
    </row>
    <row r="23" spans="1:3" ht="18" customHeight="1" x14ac:dyDescent="0.35">
      <c r="A23" s="25"/>
      <c r="B23" s="25" t="s">
        <v>21</v>
      </c>
      <c r="C23" s="27" t="s">
        <v>371</v>
      </c>
    </row>
    <row r="24" spans="1:3" ht="18" customHeight="1" x14ac:dyDescent="0.35">
      <c r="A24" s="25"/>
      <c r="B24" s="25" t="s">
        <v>21</v>
      </c>
      <c r="C24" s="27" t="s">
        <v>372</v>
      </c>
    </row>
    <row r="25" spans="1:3" ht="18" customHeight="1" x14ac:dyDescent="0.35">
      <c r="A25" s="25"/>
      <c r="B25" s="25" t="s">
        <v>21</v>
      </c>
      <c r="C25" s="27" t="s">
        <v>373</v>
      </c>
    </row>
    <row r="26" spans="1:3" ht="18" customHeight="1" x14ac:dyDescent="0.35">
      <c r="A26" s="25"/>
      <c r="B26" s="25" t="s">
        <v>21</v>
      </c>
      <c r="C26" s="27" t="s">
        <v>374</v>
      </c>
    </row>
    <row r="27" spans="1:3" ht="18" customHeight="1" x14ac:dyDescent="0.35">
      <c r="A27" s="25"/>
      <c r="B27" s="25" t="s">
        <v>21</v>
      </c>
      <c r="C27" s="27" t="s">
        <v>375</v>
      </c>
    </row>
    <row r="28" spans="1:3" ht="18" customHeight="1" x14ac:dyDescent="0.35">
      <c r="A28" s="25"/>
      <c r="B28" s="25" t="s">
        <v>21</v>
      </c>
      <c r="C28" s="27" t="s">
        <v>376</v>
      </c>
    </row>
    <row r="29" spans="1:3" ht="18" customHeight="1" x14ac:dyDescent="0.35">
      <c r="A29" s="25"/>
      <c r="B29" s="25" t="s">
        <v>21</v>
      </c>
      <c r="C29" s="27" t="s">
        <v>377</v>
      </c>
    </row>
    <row r="30" spans="1:3" ht="44" customHeight="1" x14ac:dyDescent="0.35">
      <c r="A30" s="25"/>
      <c r="B30" s="25" t="s">
        <v>21</v>
      </c>
      <c r="C30" s="28" t="s">
        <v>378</v>
      </c>
    </row>
    <row r="31" spans="1:3" ht="10" customHeight="1" x14ac:dyDescent="0.35"/>
    <row r="32" spans="1:3" ht="3" customHeight="1" x14ac:dyDescent="0.35">
      <c r="B32" s="23"/>
      <c r="C32" s="23"/>
    </row>
    <row r="33" spans="2:3" ht="12" customHeight="1" x14ac:dyDescent="0.35"/>
    <row r="34" spans="2:3" ht="24" customHeight="1" x14ac:dyDescent="0.35">
      <c r="B34" s="29" t="s">
        <v>379</v>
      </c>
      <c r="C34" s="30" t="s">
        <v>380</v>
      </c>
    </row>
    <row r="35" spans="2:3" ht="18.5" x14ac:dyDescent="0.35">
      <c r="B35" s="29" t="s">
        <v>381</v>
      </c>
      <c r="C35" s="31" t="s">
        <v>382</v>
      </c>
    </row>
    <row r="36" spans="2:3" ht="27" customHeight="1" x14ac:dyDescent="0.35">
      <c r="B36" s="32" t="s">
        <v>383</v>
      </c>
      <c r="C36" s="24" t="s">
        <v>384</v>
      </c>
    </row>
    <row r="37" spans="2:3" x14ac:dyDescent="0.35">
      <c r="B37" s="29" t="s">
        <v>385</v>
      </c>
      <c r="C37" s="33" t="s">
        <v>386</v>
      </c>
    </row>
    <row r="38" spans="2:3" ht="10" customHeight="1" x14ac:dyDescent="0.35"/>
    <row r="39" spans="2:3" ht="275.5" x14ac:dyDescent="0.35">
      <c r="B39" s="29" t="s">
        <v>387</v>
      </c>
      <c r="C39" s="34" t="s">
        <v>388</v>
      </c>
    </row>
    <row r="40" spans="2:3" ht="10" customHeight="1" x14ac:dyDescent="0.35"/>
    <row r="41" spans="2:3" ht="20" customHeight="1" x14ac:dyDescent="0.35">
      <c r="B41" s="29" t="s">
        <v>389</v>
      </c>
      <c r="C41" s="35" t="s">
        <v>17</v>
      </c>
    </row>
    <row r="42" spans="2:3" ht="29" x14ac:dyDescent="0.35">
      <c r="C42" s="21" t="s">
        <v>390</v>
      </c>
    </row>
    <row r="43" spans="2:3" ht="10" customHeight="1" x14ac:dyDescent="0.35"/>
    <row r="44" spans="2:3" ht="20" customHeight="1" x14ac:dyDescent="0.35">
      <c r="C44" s="35" t="s">
        <v>58</v>
      </c>
    </row>
    <row r="45" spans="2:3" ht="29" x14ac:dyDescent="0.35">
      <c r="C45" s="21" t="s">
        <v>391</v>
      </c>
    </row>
    <row r="46" spans="2:3" ht="10" customHeight="1" x14ac:dyDescent="0.35"/>
    <row r="47" spans="2:3" ht="20" customHeight="1" x14ac:dyDescent="0.35">
      <c r="C47" s="35" t="s">
        <v>69</v>
      </c>
    </row>
    <row r="48" spans="2:3" ht="29" x14ac:dyDescent="0.35">
      <c r="C48" s="21" t="s">
        <v>392</v>
      </c>
    </row>
    <row r="49" spans="2:3" ht="10" customHeight="1" x14ac:dyDescent="0.35"/>
    <row r="50" spans="2:3" ht="20" customHeight="1" x14ac:dyDescent="0.35">
      <c r="C50" s="35" t="s">
        <v>104</v>
      </c>
    </row>
    <row r="51" spans="2:3" ht="29" x14ac:dyDescent="0.35">
      <c r="C51" s="21" t="s">
        <v>393</v>
      </c>
    </row>
    <row r="52" spans="2:3" ht="10" customHeight="1" x14ac:dyDescent="0.35"/>
    <row r="53" spans="2:3" ht="20" customHeight="1" x14ac:dyDescent="0.35">
      <c r="C53" s="35" t="s">
        <v>184</v>
      </c>
    </row>
    <row r="54" spans="2:3" ht="29" x14ac:dyDescent="0.35">
      <c r="C54" s="21" t="s">
        <v>394</v>
      </c>
    </row>
    <row r="55" spans="2:3" ht="10" customHeight="1" x14ac:dyDescent="0.35"/>
    <row r="56" spans="2:3" ht="20" customHeight="1" x14ac:dyDescent="0.35">
      <c r="C56" s="35" t="s">
        <v>224</v>
      </c>
    </row>
    <row r="57" spans="2:3" ht="29" x14ac:dyDescent="0.35">
      <c r="C57" s="21" t="s">
        <v>395</v>
      </c>
    </row>
    <row r="58" spans="2:3" ht="10" customHeight="1" x14ac:dyDescent="0.35"/>
    <row r="59" spans="2:3" ht="20" customHeight="1" x14ac:dyDescent="0.35">
      <c r="C59" s="35" t="s">
        <v>243</v>
      </c>
    </row>
    <row r="60" spans="2:3" ht="29" x14ac:dyDescent="0.35">
      <c r="C60" s="21" t="s">
        <v>396</v>
      </c>
    </row>
    <row r="61" spans="2:3" ht="10" customHeight="1" x14ac:dyDescent="0.35"/>
    <row r="62" spans="2:3" ht="43.5" x14ac:dyDescent="0.35">
      <c r="B62" s="29" t="s">
        <v>397</v>
      </c>
      <c r="C62" s="21" t="s">
        <v>398</v>
      </c>
    </row>
    <row r="63" spans="2:3" ht="10" customHeight="1" x14ac:dyDescent="0.35"/>
    <row r="64" spans="2:3" ht="15.5" x14ac:dyDescent="0.35">
      <c r="C64" s="36" t="s">
        <v>130</v>
      </c>
    </row>
    <row r="65" spans="2:3" ht="29" x14ac:dyDescent="0.35">
      <c r="C65" s="21" t="s">
        <v>399</v>
      </c>
    </row>
    <row r="66" spans="2:3" ht="10" customHeight="1" x14ac:dyDescent="0.35"/>
    <row r="67" spans="2:3" ht="15.5" x14ac:dyDescent="0.35">
      <c r="C67" s="37" t="s">
        <v>16</v>
      </c>
    </row>
    <row r="68" spans="2:3" ht="29" x14ac:dyDescent="0.35">
      <c r="C68" s="21" t="s">
        <v>400</v>
      </c>
    </row>
    <row r="69" spans="2:3" ht="10" customHeight="1" x14ac:dyDescent="0.35"/>
    <row r="70" spans="2:3" ht="15.5" x14ac:dyDescent="0.35">
      <c r="C70" s="38" t="s">
        <v>32</v>
      </c>
    </row>
    <row r="71" spans="2:3" ht="29" x14ac:dyDescent="0.35">
      <c r="C71" s="21" t="s">
        <v>401</v>
      </c>
    </row>
    <row r="72" spans="2:3" ht="10" customHeight="1" x14ac:dyDescent="0.35"/>
    <row r="73" spans="2:3" ht="3" customHeight="1" x14ac:dyDescent="0.35">
      <c r="B73" s="23"/>
      <c r="C73" s="23"/>
    </row>
    <row r="74" spans="2:3" ht="12" customHeight="1" x14ac:dyDescent="0.35"/>
    <row r="75" spans="2:3" ht="130.5" x14ac:dyDescent="0.35">
      <c r="B75" s="20" t="s">
        <v>402</v>
      </c>
      <c r="C75" s="21" t="s">
        <v>403</v>
      </c>
    </row>
    <row r="76" spans="2:3" ht="6" customHeight="1" x14ac:dyDescent="0.35"/>
    <row r="77" spans="2:3" ht="217.5" x14ac:dyDescent="0.35">
      <c r="C77" s="21" t="s">
        <v>404</v>
      </c>
    </row>
    <row r="78" spans="2:3" ht="6" customHeight="1" x14ac:dyDescent="0.35"/>
    <row r="79" spans="2:3" ht="43.5" x14ac:dyDescent="0.35">
      <c r="C79" s="21" t="s">
        <v>405</v>
      </c>
    </row>
    <row r="80" spans="2:3" ht="10" customHeight="1" x14ac:dyDescent="0.35"/>
    <row r="81" spans="2:3" ht="3" customHeight="1" x14ac:dyDescent="0.35">
      <c r="B81" s="23"/>
      <c r="C81" s="23"/>
    </row>
    <row r="82" spans="2:3" ht="12" customHeight="1" x14ac:dyDescent="0.35"/>
    <row r="83" spans="2:3" ht="145" x14ac:dyDescent="0.35">
      <c r="B83" s="20" t="s">
        <v>406</v>
      </c>
      <c r="C83" s="21" t="s">
        <v>407</v>
      </c>
    </row>
    <row r="84" spans="2:3" ht="6" customHeight="1" x14ac:dyDescent="0.35"/>
    <row r="85" spans="2:3" ht="203" x14ac:dyDescent="0.35">
      <c r="C85" s="21" t="s">
        <v>408</v>
      </c>
    </row>
    <row r="86" spans="2:3" ht="6" customHeight="1" x14ac:dyDescent="0.35"/>
    <row r="87" spans="2:3" ht="43.5" x14ac:dyDescent="0.35">
      <c r="C87" s="21" t="s">
        <v>409</v>
      </c>
    </row>
    <row r="88" spans="2:3" ht="10" customHeight="1" x14ac:dyDescent="0.35"/>
    <row r="89" spans="2:3" ht="3" customHeight="1" x14ac:dyDescent="0.35">
      <c r="B89" s="23"/>
      <c r="C89" s="23"/>
    </row>
    <row r="90" spans="2:3" ht="12" customHeight="1" x14ac:dyDescent="0.35"/>
    <row r="91" spans="2:3" ht="101.5" x14ac:dyDescent="0.35">
      <c r="B91" s="20" t="s">
        <v>410</v>
      </c>
      <c r="C91" s="21" t="s">
        <v>411</v>
      </c>
    </row>
    <row r="92" spans="2:3" ht="6" customHeight="1" x14ac:dyDescent="0.35"/>
    <row r="93" spans="2:3" ht="145" x14ac:dyDescent="0.35">
      <c r="C93" s="21" t="s">
        <v>412</v>
      </c>
    </row>
    <row r="94" spans="2:3" ht="6" customHeight="1" x14ac:dyDescent="0.35"/>
    <row r="95" spans="2:3" ht="43.5" x14ac:dyDescent="0.35">
      <c r="C95" s="21" t="s">
        <v>413</v>
      </c>
    </row>
    <row r="96" spans="2:3" ht="10" customHeight="1" x14ac:dyDescent="0.35"/>
    <row r="97" spans="2:3" ht="3" customHeight="1" x14ac:dyDescent="0.35">
      <c r="B97" s="23"/>
      <c r="C97" s="23"/>
    </row>
    <row r="98" spans="2:3" ht="12" customHeight="1" x14ac:dyDescent="0.35"/>
    <row r="99" spans="2:3" ht="26" customHeight="1" x14ac:dyDescent="0.35">
      <c r="B99" s="39" t="s">
        <v>414</v>
      </c>
    </row>
    <row r="100" spans="2:3" ht="8" customHeight="1" x14ac:dyDescent="0.35"/>
    <row r="101" spans="2:3" ht="20" customHeight="1" x14ac:dyDescent="0.35">
      <c r="B101" s="29" t="s">
        <v>415</v>
      </c>
      <c r="C101" s="40" t="s">
        <v>416</v>
      </c>
    </row>
    <row r="102" spans="2:3" ht="116" x14ac:dyDescent="0.35">
      <c r="C102" s="21" t="s">
        <v>417</v>
      </c>
    </row>
    <row r="103" spans="2:3" ht="10" customHeight="1" x14ac:dyDescent="0.35"/>
    <row r="104" spans="2:3" ht="20" customHeight="1" x14ac:dyDescent="0.35">
      <c r="B104" s="29" t="s">
        <v>418</v>
      </c>
      <c r="C104" s="40" t="s">
        <v>419</v>
      </c>
    </row>
    <row r="105" spans="2:3" ht="116" x14ac:dyDescent="0.35">
      <c r="C105" s="21" t="s">
        <v>420</v>
      </c>
    </row>
    <row r="106" spans="2:3" ht="10" customHeight="1" x14ac:dyDescent="0.35"/>
    <row r="107" spans="2:3" ht="20" customHeight="1" x14ac:dyDescent="0.35">
      <c r="B107" s="29" t="s">
        <v>421</v>
      </c>
      <c r="C107" s="40" t="s">
        <v>422</v>
      </c>
    </row>
    <row r="108" spans="2:3" ht="130.5" x14ac:dyDescent="0.35">
      <c r="C108" s="21" t="s">
        <v>423</v>
      </c>
    </row>
    <row r="109" spans="2:3" ht="10" customHeight="1" x14ac:dyDescent="0.35"/>
    <row r="110" spans="2:3" ht="20" customHeight="1" x14ac:dyDescent="0.35">
      <c r="B110" s="29" t="s">
        <v>424</v>
      </c>
      <c r="C110" s="40" t="s">
        <v>425</v>
      </c>
    </row>
    <row r="111" spans="2:3" ht="130.5" x14ac:dyDescent="0.35">
      <c r="C111" s="21" t="s">
        <v>426</v>
      </c>
    </row>
    <row r="112" spans="2:3" ht="10" customHeight="1" x14ac:dyDescent="0.35"/>
    <row r="113" spans="2:3" ht="20" customHeight="1" x14ac:dyDescent="0.35">
      <c r="B113" s="29" t="s">
        <v>427</v>
      </c>
      <c r="C113" s="40" t="s">
        <v>428</v>
      </c>
    </row>
    <row r="114" spans="2:3" ht="116" x14ac:dyDescent="0.35">
      <c r="C114" s="21" t="s">
        <v>429</v>
      </c>
    </row>
    <row r="115" spans="2:3" ht="10" customHeight="1" x14ac:dyDescent="0.35"/>
    <row r="116" spans="2:3" ht="20" customHeight="1" x14ac:dyDescent="0.35">
      <c r="B116" s="29" t="s">
        <v>430</v>
      </c>
      <c r="C116" s="40" t="s">
        <v>431</v>
      </c>
    </row>
    <row r="117" spans="2:3" ht="116" x14ac:dyDescent="0.35">
      <c r="C117" s="21" t="s">
        <v>432</v>
      </c>
    </row>
    <row r="118" spans="2:3" ht="10" customHeight="1" x14ac:dyDescent="0.35"/>
    <row r="119" spans="2:3" ht="20" customHeight="1" x14ac:dyDescent="0.35">
      <c r="B119" s="29" t="s">
        <v>433</v>
      </c>
      <c r="C119" s="40" t="s">
        <v>434</v>
      </c>
    </row>
    <row r="120" spans="2:3" ht="130.5" x14ac:dyDescent="0.35">
      <c r="C120" s="21" t="s">
        <v>435</v>
      </c>
    </row>
    <row r="121" spans="2:3" ht="10" customHeight="1" x14ac:dyDescent="0.35"/>
    <row r="122" spans="2:3" ht="20" customHeight="1" x14ac:dyDescent="0.35">
      <c r="B122" s="29" t="s">
        <v>436</v>
      </c>
      <c r="C122" s="40" t="s">
        <v>437</v>
      </c>
    </row>
    <row r="123" spans="2:3" ht="203" x14ac:dyDescent="0.35">
      <c r="C123" s="21" t="s">
        <v>438</v>
      </c>
    </row>
    <row r="124" spans="2:3" ht="10" customHeight="1" x14ac:dyDescent="0.35"/>
    <row r="127" spans="2:3" ht="32" customHeight="1" x14ac:dyDescent="0.35">
      <c r="B127" s="291" t="s">
        <v>351</v>
      </c>
      <c r="C127" s="291"/>
    </row>
  </sheetData>
  <sheetProtection password="90EA" sheet="1"/>
  <mergeCells count="1">
    <mergeCell ref="B127:C127"/>
  </mergeCells>
  <hyperlinks>
    <hyperlink ref="C5" r:id="rId1" xr:uid="{00000000-0004-0000-0000-000000000000}"/>
    <hyperlink ref="C6" r:id="rId2" xr:uid="{00000000-0004-0000-0000-000001000000}"/>
    <hyperlink ref="C37" r:id="rId3" xr:uid="{00000000-0004-0000-0000-000002000000}"/>
    <hyperlink ref="B127"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3122</v>
      </c>
      <c r="B1" s="233" t="s">
        <v>0</v>
      </c>
      <c r="C1" s="233" t="s">
        <v>599</v>
      </c>
      <c r="D1" s="233" t="s">
        <v>600</v>
      </c>
      <c r="E1" s="233" t="s">
        <v>605</v>
      </c>
      <c r="F1" s="233" t="s">
        <v>606</v>
      </c>
      <c r="G1" s="233" t="s">
        <v>607</v>
      </c>
      <c r="H1" s="233" t="s">
        <v>608</v>
      </c>
      <c r="I1" s="233" t="s">
        <v>609</v>
      </c>
      <c r="J1" s="233" t="s">
        <v>610</v>
      </c>
      <c r="K1" s="233" t="s">
        <v>611</v>
      </c>
      <c r="L1" s="233" t="s">
        <v>612</v>
      </c>
      <c r="M1" s="233" t="s">
        <v>613</v>
      </c>
      <c r="N1" s="233" t="s">
        <v>614</v>
      </c>
      <c r="O1" s="233" t="s">
        <v>615</v>
      </c>
      <c r="P1" s="233" t="s">
        <v>616</v>
      </c>
      <c r="Q1" s="233" t="s">
        <v>617</v>
      </c>
      <c r="R1" s="233" t="s">
        <v>618</v>
      </c>
      <c r="S1" s="233" t="s">
        <v>619</v>
      </c>
      <c r="T1" s="233" t="s">
        <v>620</v>
      </c>
      <c r="U1" s="233" t="s">
        <v>621</v>
      </c>
      <c r="V1" s="233" t="s">
        <v>622</v>
      </c>
      <c r="W1" s="233" t="s">
        <v>623</v>
      </c>
      <c r="X1" s="233" t="s">
        <v>624</v>
      </c>
      <c r="Y1" s="233" t="s">
        <v>625</v>
      </c>
      <c r="Z1" s="233" t="s">
        <v>626</v>
      </c>
      <c r="AA1" s="233" t="s">
        <v>627</v>
      </c>
      <c r="AB1" s="233" t="s">
        <v>628</v>
      </c>
      <c r="AC1" s="233" t="s">
        <v>629</v>
      </c>
      <c r="AD1" s="233" t="s">
        <v>630</v>
      </c>
      <c r="AE1" s="233" t="s">
        <v>631</v>
      </c>
      <c r="AF1" s="233" t="s">
        <v>632</v>
      </c>
      <c r="AG1" s="233" t="s">
        <v>633</v>
      </c>
      <c r="AH1" s="233" t="s">
        <v>634</v>
      </c>
      <c r="AI1" s="233" t="s">
        <v>635</v>
      </c>
      <c r="AJ1" s="233" t="s">
        <v>636</v>
      </c>
      <c r="AK1" s="233" t="s">
        <v>637</v>
      </c>
      <c r="AL1" s="233" t="s">
        <v>638</v>
      </c>
      <c r="AM1" s="233" t="s">
        <v>639</v>
      </c>
      <c r="AN1" s="233" t="s">
        <v>640</v>
      </c>
      <c r="AO1" s="233" t="s">
        <v>641</v>
      </c>
      <c r="AP1" s="233" t="s">
        <v>642</v>
      </c>
      <c r="AQ1" s="233" t="s">
        <v>643</v>
      </c>
      <c r="AR1" s="233" t="s">
        <v>644</v>
      </c>
      <c r="AS1" s="234" t="s">
        <v>645</v>
      </c>
    </row>
    <row r="2" spans="1:45" ht="60" customHeight="1" outlineLevel="1" x14ac:dyDescent="0.35">
      <c r="A2" s="226" t="s">
        <v>3123</v>
      </c>
      <c r="B2" s="213" t="s">
        <v>3124</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3123</v>
      </c>
      <c r="B3" s="214" t="s">
        <v>3125</v>
      </c>
      <c r="C3" s="215" t="s">
        <v>3126</v>
      </c>
      <c r="D3" s="217" t="s">
        <v>3127</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3123</v>
      </c>
      <c r="B4" s="214" t="s">
        <v>3128</v>
      </c>
      <c r="C4" s="215" t="s">
        <v>3129</v>
      </c>
      <c r="D4" s="217" t="s">
        <v>3130</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3123</v>
      </c>
      <c r="B5" s="214" t="s">
        <v>3131</v>
      </c>
      <c r="C5" s="215" t="s">
        <v>3132</v>
      </c>
      <c r="D5" s="217" t="s">
        <v>3133</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3123</v>
      </c>
      <c r="B6" s="214" t="s">
        <v>3134</v>
      </c>
      <c r="C6" s="215" t="s">
        <v>3135</v>
      </c>
      <c r="D6" s="217" t="s">
        <v>3136</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3123</v>
      </c>
      <c r="B7" s="214" t="s">
        <v>3137</v>
      </c>
      <c r="C7" s="215" t="s">
        <v>3138</v>
      </c>
      <c r="D7" s="217" t="s">
        <v>3139</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3123</v>
      </c>
      <c r="B8" s="214" t="s">
        <v>3140</v>
      </c>
      <c r="C8" s="215" t="s">
        <v>3141</v>
      </c>
      <c r="D8" s="217" t="s">
        <v>3142</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3123</v>
      </c>
      <c r="B9" s="214" t="s">
        <v>3143</v>
      </c>
      <c r="C9" s="215" t="s">
        <v>3144</v>
      </c>
      <c r="D9" s="217" t="s">
        <v>3145</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3123</v>
      </c>
      <c r="B10" s="214" t="s">
        <v>3146</v>
      </c>
      <c r="C10" s="215" t="s">
        <v>3147</v>
      </c>
      <c r="D10" s="217" t="s">
        <v>3148</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3123</v>
      </c>
      <c r="B11" s="214" t="s">
        <v>3149</v>
      </c>
      <c r="C11" s="215" t="s">
        <v>3150</v>
      </c>
      <c r="D11" s="217" t="s">
        <v>3151</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3123</v>
      </c>
      <c r="B12" s="214" t="s">
        <v>3152</v>
      </c>
      <c r="C12" s="215" t="s">
        <v>3153</v>
      </c>
      <c r="D12" s="217" t="s">
        <v>3154</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3123</v>
      </c>
      <c r="B13" s="214" t="s">
        <v>3155</v>
      </c>
      <c r="C13" s="215" t="s">
        <v>3156</v>
      </c>
      <c r="D13" s="217" t="s">
        <v>3157</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3123</v>
      </c>
      <c r="B14" s="214" t="s">
        <v>3158</v>
      </c>
      <c r="C14" s="215" t="s">
        <v>3159</v>
      </c>
      <c r="D14" s="217" t="s">
        <v>3160</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3123</v>
      </c>
      <c r="B15" s="214" t="s">
        <v>3161</v>
      </c>
      <c r="C15" s="215" t="s">
        <v>3162</v>
      </c>
      <c r="D15" s="217" t="s">
        <v>3163</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3123</v>
      </c>
      <c r="B16" s="214" t="s">
        <v>3164</v>
      </c>
      <c r="C16" s="215" t="s">
        <v>3165</v>
      </c>
      <c r="D16" s="217" t="s">
        <v>3166</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3123</v>
      </c>
      <c r="B17" s="214" t="s">
        <v>3167</v>
      </c>
      <c r="C17" s="215" t="s">
        <v>3168</v>
      </c>
      <c r="D17" s="217" t="s">
        <v>3169</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3123</v>
      </c>
      <c r="B18" s="214" t="s">
        <v>3170</v>
      </c>
      <c r="C18" s="215" t="s">
        <v>3171</v>
      </c>
      <c r="D18" s="217" t="s">
        <v>3172</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3123</v>
      </c>
      <c r="B19" s="214" t="s">
        <v>3173</v>
      </c>
      <c r="C19" s="215" t="s">
        <v>3174</v>
      </c>
      <c r="D19" s="217" t="s">
        <v>3175</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3123</v>
      </c>
      <c r="B20" s="214" t="s">
        <v>3176</v>
      </c>
      <c r="C20" s="215" t="s">
        <v>3177</v>
      </c>
      <c r="D20" s="217" t="s">
        <v>3178</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3123</v>
      </c>
      <c r="B21" s="214" t="s">
        <v>3179</v>
      </c>
      <c r="C21" s="215" t="s">
        <v>3180</v>
      </c>
      <c r="D21" s="217" t="s">
        <v>3181</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3123</v>
      </c>
      <c r="B22" s="214" t="s">
        <v>3182</v>
      </c>
      <c r="C22" s="215" t="s">
        <v>3183</v>
      </c>
      <c r="D22" s="217" t="s">
        <v>3184</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3123</v>
      </c>
      <c r="B23" s="214" t="s">
        <v>3185</v>
      </c>
      <c r="C23" s="215" t="s">
        <v>3186</v>
      </c>
      <c r="D23" s="217" t="s">
        <v>3187</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3123</v>
      </c>
      <c r="B24" s="214" t="s">
        <v>3188</v>
      </c>
      <c r="C24" s="215" t="s">
        <v>3189</v>
      </c>
      <c r="D24" s="217" t="s">
        <v>3190</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3123</v>
      </c>
      <c r="B25" s="214" t="s">
        <v>3191</v>
      </c>
      <c r="C25" s="215" t="s">
        <v>3192</v>
      </c>
      <c r="D25" s="217" t="s">
        <v>3193</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3123</v>
      </c>
      <c r="B26" s="214" t="s">
        <v>3194</v>
      </c>
      <c r="C26" s="215" t="s">
        <v>3195</v>
      </c>
      <c r="D26" s="217" t="s">
        <v>3196</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3123</v>
      </c>
      <c r="B27" s="214" t="s">
        <v>3197</v>
      </c>
      <c r="C27" s="215" t="s">
        <v>3198</v>
      </c>
      <c r="D27" s="217" t="s">
        <v>3199</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3123</v>
      </c>
      <c r="B28" s="214" t="s">
        <v>3200</v>
      </c>
      <c r="C28" s="215" t="s">
        <v>3201</v>
      </c>
      <c r="D28" s="217" t="s">
        <v>3202</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3123</v>
      </c>
      <c r="B29" s="214" t="s">
        <v>3203</v>
      </c>
      <c r="C29" s="215" t="s">
        <v>3204</v>
      </c>
      <c r="D29" s="217" t="s">
        <v>3205</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3123</v>
      </c>
      <c r="B30" s="214" t="s">
        <v>3206</v>
      </c>
      <c r="C30" s="215" t="s">
        <v>3207</v>
      </c>
      <c r="D30" s="217" t="s">
        <v>3208</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3123</v>
      </c>
      <c r="B31" s="214" t="s">
        <v>3209</v>
      </c>
      <c r="C31" s="215" t="s">
        <v>3210</v>
      </c>
      <c r="D31" s="217" t="s">
        <v>3211</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3123</v>
      </c>
      <c r="B32" s="214" t="s">
        <v>3212</v>
      </c>
      <c r="C32" s="215" t="s">
        <v>3213</v>
      </c>
      <c r="D32" s="217" t="s">
        <v>3214</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3123</v>
      </c>
      <c r="B33" s="214" t="s">
        <v>3215</v>
      </c>
      <c r="C33" s="215" t="s">
        <v>3216</v>
      </c>
      <c r="D33" s="217" t="s">
        <v>3217</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3123</v>
      </c>
      <c r="B34" s="214" t="s">
        <v>3218</v>
      </c>
      <c r="C34" s="215" t="s">
        <v>3219</v>
      </c>
      <c r="D34" s="217" t="s">
        <v>3220</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3123</v>
      </c>
      <c r="B35" s="214" t="s">
        <v>3221</v>
      </c>
      <c r="C35" s="215" t="s">
        <v>3222</v>
      </c>
      <c r="D35" s="217" t="s">
        <v>3223</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3123</v>
      </c>
      <c r="B36" s="214" t="s">
        <v>3224</v>
      </c>
      <c r="C36" s="215" t="s">
        <v>3225</v>
      </c>
      <c r="D36" s="217" t="s">
        <v>3226</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3123</v>
      </c>
      <c r="B37" s="214" t="s">
        <v>3227</v>
      </c>
      <c r="C37" s="215" t="s">
        <v>3228</v>
      </c>
      <c r="D37" s="217" t="s">
        <v>3229</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3123</v>
      </c>
      <c r="B38" s="214" t="s">
        <v>3230</v>
      </c>
      <c r="C38" s="215" t="s">
        <v>3231</v>
      </c>
      <c r="D38" s="217" t="s">
        <v>3232</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3123</v>
      </c>
      <c r="B39" s="214" t="s">
        <v>3233</v>
      </c>
      <c r="C39" s="215" t="s">
        <v>3234</v>
      </c>
      <c r="D39" s="217" t="s">
        <v>3235</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3236</v>
      </c>
      <c r="B40" s="213" t="s">
        <v>3237</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3236</v>
      </c>
      <c r="B41" s="214" t="s">
        <v>3238</v>
      </c>
      <c r="C41" s="215" t="s">
        <v>3239</v>
      </c>
      <c r="D41" s="217" t="s">
        <v>3240</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3236</v>
      </c>
      <c r="B42" s="214" t="s">
        <v>3241</v>
      </c>
      <c r="C42" s="215" t="s">
        <v>3242</v>
      </c>
      <c r="D42" s="217" t="s">
        <v>3243</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3236</v>
      </c>
      <c r="B43" s="214" t="s">
        <v>3244</v>
      </c>
      <c r="C43" s="215" t="s">
        <v>3245</v>
      </c>
      <c r="D43" s="217" t="s">
        <v>3246</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3236</v>
      </c>
      <c r="B44" s="214" t="s">
        <v>3247</v>
      </c>
      <c r="C44" s="215" t="s">
        <v>3248</v>
      </c>
      <c r="D44" s="217" t="s">
        <v>3249</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3236</v>
      </c>
      <c r="B45" s="214" t="s">
        <v>3250</v>
      </c>
      <c r="C45" s="215" t="s">
        <v>3251</v>
      </c>
      <c r="D45" s="217" t="s">
        <v>3252</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3236</v>
      </c>
      <c r="B46" s="214" t="s">
        <v>3253</v>
      </c>
      <c r="C46" s="215" t="s">
        <v>3254</v>
      </c>
      <c r="D46" s="217" t="s">
        <v>3255</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3236</v>
      </c>
      <c r="B47" s="214" t="s">
        <v>3256</v>
      </c>
      <c r="C47" s="215" t="s">
        <v>3257</v>
      </c>
      <c r="D47" s="217" t="s">
        <v>3258</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3236</v>
      </c>
      <c r="B48" s="214" t="s">
        <v>3259</v>
      </c>
      <c r="C48" s="215" t="s">
        <v>3260</v>
      </c>
      <c r="D48" s="217" t="s">
        <v>3261</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3262</v>
      </c>
      <c r="B49" s="213" t="s">
        <v>3263</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3262</v>
      </c>
      <c r="B50" s="214" t="s">
        <v>3264</v>
      </c>
      <c r="C50" s="215" t="s">
        <v>3265</v>
      </c>
      <c r="D50" s="217" t="s">
        <v>3266</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3262</v>
      </c>
      <c r="B51" s="214" t="s">
        <v>3267</v>
      </c>
      <c r="C51" s="215" t="s">
        <v>3268</v>
      </c>
      <c r="D51" s="217" t="s">
        <v>3269</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3262</v>
      </c>
      <c r="B52" s="214" t="s">
        <v>3270</v>
      </c>
      <c r="C52" s="215" t="s">
        <v>3271</v>
      </c>
      <c r="D52" s="217" t="s">
        <v>3272</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3262</v>
      </c>
      <c r="B53" s="214" t="s">
        <v>3273</v>
      </c>
      <c r="C53" s="215" t="s">
        <v>3274</v>
      </c>
      <c r="D53" s="217" t="s">
        <v>3275</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3262</v>
      </c>
      <c r="B54" s="214" t="s">
        <v>3276</v>
      </c>
      <c r="C54" s="215" t="s">
        <v>3277</v>
      </c>
      <c r="D54" s="217" t="s">
        <v>3278</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3262</v>
      </c>
      <c r="B55" s="214" t="s">
        <v>3279</v>
      </c>
      <c r="C55" s="215" t="s">
        <v>3280</v>
      </c>
      <c r="D55" s="217" t="s">
        <v>3281</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3262</v>
      </c>
      <c r="B56" s="214" t="s">
        <v>3282</v>
      </c>
      <c r="C56" s="215" t="s">
        <v>3283</v>
      </c>
      <c r="D56" s="217" t="s">
        <v>3284</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3262</v>
      </c>
      <c r="B57" s="214" t="s">
        <v>3285</v>
      </c>
      <c r="C57" s="215" t="s">
        <v>3286</v>
      </c>
      <c r="D57" s="217" t="s">
        <v>3287</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3262</v>
      </c>
      <c r="B58" s="214" t="s">
        <v>3288</v>
      </c>
      <c r="C58" s="215" t="s">
        <v>3289</v>
      </c>
      <c r="D58" s="217" t="s">
        <v>3290</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3262</v>
      </c>
      <c r="B59" s="214" t="s">
        <v>3291</v>
      </c>
      <c r="C59" s="215" t="s">
        <v>3292</v>
      </c>
      <c r="D59" s="217" t="s">
        <v>3293</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3262</v>
      </c>
      <c r="B60" s="214" t="s">
        <v>3294</v>
      </c>
      <c r="C60" s="215" t="s">
        <v>3295</v>
      </c>
      <c r="D60" s="217" t="s">
        <v>3296</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3262</v>
      </c>
      <c r="B61" s="214" t="s">
        <v>3297</v>
      </c>
      <c r="C61" s="215" t="s">
        <v>3298</v>
      </c>
      <c r="D61" s="217" t="s">
        <v>3299</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3262</v>
      </c>
      <c r="B62" s="214" t="s">
        <v>3300</v>
      </c>
      <c r="C62" s="215" t="s">
        <v>3301</v>
      </c>
      <c r="D62" s="217" t="s">
        <v>3302</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3262</v>
      </c>
      <c r="B63" s="214" t="s">
        <v>3303</v>
      </c>
      <c r="C63" s="215" t="s">
        <v>3304</v>
      </c>
      <c r="D63" s="217" t="s">
        <v>3305</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3306</v>
      </c>
      <c r="B64" s="213" t="s">
        <v>3307</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3306</v>
      </c>
      <c r="B65" s="214" t="s">
        <v>3308</v>
      </c>
      <c r="C65" s="215" t="s">
        <v>3309</v>
      </c>
      <c r="D65" s="217" t="s">
        <v>3310</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3306</v>
      </c>
      <c r="B66" s="214" t="s">
        <v>3311</v>
      </c>
      <c r="C66" s="215" t="s">
        <v>3312</v>
      </c>
      <c r="D66" s="217" t="s">
        <v>3313</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3306</v>
      </c>
      <c r="B67" s="214" t="s">
        <v>3314</v>
      </c>
      <c r="C67" s="215" t="s">
        <v>3315</v>
      </c>
      <c r="D67" s="217" t="s">
        <v>3316</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3306</v>
      </c>
      <c r="B68" s="214" t="s">
        <v>3317</v>
      </c>
      <c r="C68" s="215" t="s">
        <v>3318</v>
      </c>
      <c r="D68" s="217" t="s">
        <v>3319</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3306</v>
      </c>
      <c r="B69" s="214" t="s">
        <v>3320</v>
      </c>
      <c r="C69" s="215" t="s">
        <v>3321</v>
      </c>
      <c r="D69" s="217" t="s">
        <v>3322</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3306</v>
      </c>
      <c r="B70" s="214" t="s">
        <v>3323</v>
      </c>
      <c r="C70" s="215" t="s">
        <v>3324</v>
      </c>
      <c r="D70" s="217" t="s">
        <v>3325</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3306</v>
      </c>
      <c r="B71" s="214" t="s">
        <v>3326</v>
      </c>
      <c r="C71" s="215" t="s">
        <v>3327</v>
      </c>
      <c r="D71" s="217" t="s">
        <v>3328</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3306</v>
      </c>
      <c r="B72" s="214" t="s">
        <v>3329</v>
      </c>
      <c r="C72" s="215" t="s">
        <v>3330</v>
      </c>
      <c r="D72" s="217" t="s">
        <v>3331</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3306</v>
      </c>
      <c r="B73" s="214" t="s">
        <v>3332</v>
      </c>
      <c r="C73" s="215" t="s">
        <v>3333</v>
      </c>
      <c r="D73" s="217" t="s">
        <v>3334</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3306</v>
      </c>
      <c r="B74" s="214" t="s">
        <v>3335</v>
      </c>
      <c r="C74" s="215" t="s">
        <v>3336</v>
      </c>
      <c r="D74" s="217" t="s">
        <v>3337</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3306</v>
      </c>
      <c r="B75" s="214" t="s">
        <v>3338</v>
      </c>
      <c r="C75" s="215" t="s">
        <v>3339</v>
      </c>
      <c r="D75" s="217" t="s">
        <v>3340</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3306</v>
      </c>
      <c r="B76" s="214" t="s">
        <v>3341</v>
      </c>
      <c r="C76" s="215" t="s">
        <v>3342</v>
      </c>
      <c r="D76" s="217" t="s">
        <v>3343</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3306</v>
      </c>
      <c r="B77" s="214" t="s">
        <v>3344</v>
      </c>
      <c r="C77" s="215" t="s">
        <v>3345</v>
      </c>
      <c r="D77" s="217" t="s">
        <v>3346</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3306</v>
      </c>
      <c r="B78" s="214" t="s">
        <v>3347</v>
      </c>
      <c r="C78" s="215" t="s">
        <v>3348</v>
      </c>
      <c r="D78" s="217" t="s">
        <v>3349</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3306</v>
      </c>
      <c r="B79" s="214" t="s">
        <v>3350</v>
      </c>
      <c r="C79" s="215" t="s">
        <v>3351</v>
      </c>
      <c r="D79" s="217" t="s">
        <v>3352</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3306</v>
      </c>
      <c r="B80" s="214" t="s">
        <v>3353</v>
      </c>
      <c r="C80" s="215" t="s">
        <v>3354</v>
      </c>
      <c r="D80" s="217" t="s">
        <v>3355</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3306</v>
      </c>
      <c r="B81" s="214" t="s">
        <v>3356</v>
      </c>
      <c r="C81" s="215" t="s">
        <v>3357</v>
      </c>
      <c r="D81" s="217" t="s">
        <v>3358</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3306</v>
      </c>
      <c r="B82" s="214" t="s">
        <v>3359</v>
      </c>
      <c r="C82" s="215" t="s">
        <v>3360</v>
      </c>
      <c r="D82" s="217" t="s">
        <v>3361</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3306</v>
      </c>
      <c r="B83" s="214" t="s">
        <v>3362</v>
      </c>
      <c r="C83" s="215" t="s">
        <v>3363</v>
      </c>
      <c r="D83" s="217" t="s">
        <v>3364</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3306</v>
      </c>
      <c r="B84" s="214" t="s">
        <v>3365</v>
      </c>
      <c r="C84" s="215" t="s">
        <v>3366</v>
      </c>
      <c r="D84" s="217" t="s">
        <v>3367</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3306</v>
      </c>
      <c r="B85" s="214" t="s">
        <v>3368</v>
      </c>
      <c r="C85" s="215" t="s">
        <v>3369</v>
      </c>
      <c r="D85" s="217" t="s">
        <v>3370</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3306</v>
      </c>
      <c r="B86" s="214" t="s">
        <v>3371</v>
      </c>
      <c r="C86" s="215" t="s">
        <v>3372</v>
      </c>
      <c r="D86" s="217" t="s">
        <v>3373</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3306</v>
      </c>
      <c r="B87" s="214" t="s">
        <v>3374</v>
      </c>
      <c r="C87" s="215" t="s">
        <v>3375</v>
      </c>
      <c r="D87" s="217" t="s">
        <v>3376</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3306</v>
      </c>
      <c r="B88" s="214" t="s">
        <v>3377</v>
      </c>
      <c r="C88" s="215" t="s">
        <v>3378</v>
      </c>
      <c r="D88" s="217" t="s">
        <v>3379</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3306</v>
      </c>
      <c r="B89" s="214" t="s">
        <v>3380</v>
      </c>
      <c r="C89" s="215" t="s">
        <v>3381</v>
      </c>
      <c r="D89" s="217" t="s">
        <v>3382</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3306</v>
      </c>
      <c r="B90" s="214" t="s">
        <v>3383</v>
      </c>
      <c r="C90" s="215" t="s">
        <v>3384</v>
      </c>
      <c r="D90" s="217" t="s">
        <v>3385</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3306</v>
      </c>
      <c r="B91" s="214" t="s">
        <v>3386</v>
      </c>
      <c r="C91" s="215" t="s">
        <v>3387</v>
      </c>
      <c r="D91" s="217" t="s">
        <v>3388</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3306</v>
      </c>
      <c r="B92" s="214" t="s">
        <v>3389</v>
      </c>
      <c r="C92" s="215" t="s">
        <v>3390</v>
      </c>
      <c r="D92" s="217" t="s">
        <v>3391</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3306</v>
      </c>
      <c r="B93" s="214" t="s">
        <v>3392</v>
      </c>
      <c r="C93" s="215" t="s">
        <v>3393</v>
      </c>
      <c r="D93" s="217" t="s">
        <v>3394</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3306</v>
      </c>
      <c r="B94" s="214" t="s">
        <v>3395</v>
      </c>
      <c r="C94" s="215" t="s">
        <v>3396</v>
      </c>
      <c r="D94" s="217" t="s">
        <v>3397</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3306</v>
      </c>
      <c r="B95" s="214" t="s">
        <v>3398</v>
      </c>
      <c r="C95" s="215" t="s">
        <v>3399</v>
      </c>
      <c r="D95" s="217" t="s">
        <v>3400</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3306</v>
      </c>
      <c r="B96" s="214" t="s">
        <v>3401</v>
      </c>
      <c r="C96" s="215" t="s">
        <v>3402</v>
      </c>
      <c r="D96" s="217" t="s">
        <v>3403</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3306</v>
      </c>
      <c r="B97" s="214" t="s">
        <v>3404</v>
      </c>
      <c r="C97" s="215" t="s">
        <v>3405</v>
      </c>
      <c r="D97" s="217" t="s">
        <v>3406</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3306</v>
      </c>
      <c r="B98" s="221" t="s">
        <v>3407</v>
      </c>
      <c r="C98" s="222" t="s">
        <v>3408</v>
      </c>
      <c r="D98" s="223" t="s">
        <v>3409</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351</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IFERROR(INDEX('Recommendations'!$H$2:$H$69, MATCH(F2,'Recommendations'!$A$2:$A$69,0))="Implemented", FALSE))</xm:f>
            <x14:dxf>
              <font>
                <color rgb="FF000000"/>
              </font>
              <fill>
                <patternFill>
                  <bgColor rgb="FF3C7D22"/>
                </patternFill>
              </fill>
            </x14:dxf>
          </x14:cfRule>
          <x14:cfRule type="expression" priority="2" id="{00000000-000E-0000-0900-000002000000}">
            <xm:f>AND(F2&lt;&gt;"", IFERROR(INDEX('Recommendations'!$H$2:$H$69, MATCH(F2,'Recommendations'!$A$2:$A$69,0))="Compensated", FALSE))</xm:f>
            <x14:dxf>
              <font>
                <color rgb="FF000000"/>
              </font>
              <fill>
                <patternFill>
                  <bgColor rgb="FFC6E0B4"/>
                </patternFill>
              </fill>
            </x14:dxf>
          </x14:cfRule>
          <x14:cfRule type="expression" priority="3" id="{00000000-000E-0000-0900-000003000000}">
            <xm:f>AND(F2&lt;&gt;"", IFERROR(INDEX('Recommendations'!$H$2:$H$69, MATCH(F2,'Recommendations'!$A$2:$A$69,0))="Testing", FALSE))</xm:f>
            <x14:dxf>
              <font>
                <color rgb="FF000000"/>
              </font>
              <fill>
                <patternFill>
                  <bgColor rgb="FFFFC000"/>
                </patternFill>
              </fill>
            </x14:dxf>
          </x14:cfRule>
          <x14:cfRule type="expression" priority="4" id="{00000000-000E-0000-0900-000004000000}">
            <xm:f>AND(F2&lt;&gt;"", IFERROR(INDEX('Recommendations'!$H$2:$H$69, MATCH(F2,'Recommendations'!$A$2:$A$69,0))="Failed", FALSE))</xm:f>
            <x14:dxf>
              <font>
                <color rgb="FF000000"/>
              </font>
              <fill>
                <patternFill>
                  <bgColor rgb="FFD82891"/>
                </patternFill>
              </fill>
            </x14:dxf>
          </x14:cfRule>
          <x14:cfRule type="expression" priority="5" id="{00000000-000E-0000-0900-000005000000}">
            <xm:f>AND(F2&lt;&gt;"", IFERROR(INDEX('Recommendations'!$H$2:$H$69, MATCH(F2,'Recommendations'!$A$2:$A$69,0))="Risk Accepted", FALSE))</xm:f>
            <x14:dxf>
              <font>
                <color rgb="FF000000"/>
              </font>
              <fill>
                <patternFill>
                  <bgColor rgb="FFD9D9D9"/>
                </patternFill>
              </fill>
            </x14:dxf>
          </x14:cfRule>
          <x14:cfRule type="expression" priority="6" id="{00000000-000E-0000-0900-000006000000}">
            <xm:f>AND(F2&lt;&gt;"", IFERROR(INDEX('Recommendations'!$H$2:$H$69, MATCH(F2,'Recommendations'!$A$2:$A$69,0))="N/A",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3410</v>
      </c>
      <c r="C1" s="256" t="s">
        <v>3411</v>
      </c>
      <c r="D1" s="256" t="s">
        <v>3412</v>
      </c>
      <c r="E1" s="256" t="s">
        <v>3413</v>
      </c>
      <c r="F1" s="256" t="s">
        <v>2239</v>
      </c>
      <c r="G1" s="256" t="s">
        <v>3414</v>
      </c>
      <c r="H1" s="256" t="s">
        <v>3415</v>
      </c>
      <c r="I1" s="256" t="s">
        <v>3416</v>
      </c>
      <c r="J1" s="256" t="s">
        <v>11</v>
      </c>
      <c r="K1" s="256" t="s">
        <v>605</v>
      </c>
      <c r="L1" s="256" t="s">
        <v>606</v>
      </c>
      <c r="M1" s="256" t="s">
        <v>607</v>
      </c>
      <c r="N1" s="256" t="s">
        <v>608</v>
      </c>
      <c r="O1" s="256" t="s">
        <v>609</v>
      </c>
      <c r="P1" s="256" t="s">
        <v>610</v>
      </c>
      <c r="Q1" s="256" t="s">
        <v>611</v>
      </c>
      <c r="R1" s="256" t="s">
        <v>612</v>
      </c>
      <c r="S1" s="256" t="s">
        <v>613</v>
      </c>
      <c r="T1" s="256" t="s">
        <v>614</v>
      </c>
      <c r="U1" s="256" t="s">
        <v>615</v>
      </c>
      <c r="V1" s="256" t="s">
        <v>616</v>
      </c>
      <c r="W1" s="256" t="s">
        <v>617</v>
      </c>
      <c r="X1" s="256" t="s">
        <v>618</v>
      </c>
      <c r="Y1" s="256" t="s">
        <v>619</v>
      </c>
      <c r="Z1" s="256" t="s">
        <v>620</v>
      </c>
      <c r="AA1" s="256" t="s">
        <v>621</v>
      </c>
      <c r="AB1" s="256" t="s">
        <v>622</v>
      </c>
      <c r="AC1" s="256" t="s">
        <v>623</v>
      </c>
      <c r="AD1" s="256" t="s">
        <v>624</v>
      </c>
      <c r="AE1" s="256" t="s">
        <v>625</v>
      </c>
      <c r="AF1" s="256" t="s">
        <v>626</v>
      </c>
      <c r="AG1" s="256" t="s">
        <v>627</v>
      </c>
      <c r="AH1" s="256" t="s">
        <v>628</v>
      </c>
      <c r="AI1" s="256" t="s">
        <v>629</v>
      </c>
      <c r="AJ1" s="256" t="s">
        <v>630</v>
      </c>
      <c r="AK1" s="256" t="s">
        <v>631</v>
      </c>
      <c r="AL1" s="256" t="s">
        <v>632</v>
      </c>
      <c r="AM1" s="256" t="s">
        <v>633</v>
      </c>
      <c r="AN1" s="256" t="s">
        <v>634</v>
      </c>
      <c r="AO1" s="256" t="s">
        <v>635</v>
      </c>
      <c r="AP1" s="256" t="s">
        <v>636</v>
      </c>
      <c r="AQ1" s="256" t="s">
        <v>637</v>
      </c>
      <c r="AR1" s="256" t="s">
        <v>638</v>
      </c>
      <c r="AS1" s="256" t="s">
        <v>639</v>
      </c>
      <c r="AT1" s="256" t="s">
        <v>640</v>
      </c>
      <c r="AU1" s="256" t="s">
        <v>641</v>
      </c>
      <c r="AV1" s="256" t="s">
        <v>642</v>
      </c>
      <c r="AW1" s="256" t="s">
        <v>643</v>
      </c>
      <c r="AX1" s="256" t="s">
        <v>644</v>
      </c>
      <c r="AY1" s="257" t="s">
        <v>645</v>
      </c>
    </row>
    <row r="2" spans="1:51" ht="60" customHeight="1" outlineLevel="1" x14ac:dyDescent="0.35">
      <c r="A2" s="247" t="s">
        <v>3417</v>
      </c>
      <c r="B2" s="235" t="s">
        <v>3418</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648</v>
      </c>
      <c r="B3" s="236" t="s">
        <v>3419</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3420</v>
      </c>
      <c r="B4" s="237" t="s">
        <v>3421</v>
      </c>
      <c r="C4" s="237" t="s">
        <v>3422</v>
      </c>
      <c r="D4" s="237" t="s">
        <v>3423</v>
      </c>
      <c r="E4" s="237" t="s">
        <v>3424</v>
      </c>
      <c r="F4" s="237" t="s">
        <v>21</v>
      </c>
      <c r="G4" s="237" t="s">
        <v>21</v>
      </c>
      <c r="H4" s="237" t="s">
        <v>3425</v>
      </c>
      <c r="I4" s="237" t="s">
        <v>21</v>
      </c>
      <c r="J4" s="237" t="s">
        <v>3426</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3427</v>
      </c>
      <c r="B5" s="237" t="s">
        <v>3428</v>
      </c>
      <c r="C5" s="237" t="s">
        <v>3429</v>
      </c>
      <c r="D5" s="237" t="s">
        <v>3430</v>
      </c>
      <c r="E5" s="237" t="s">
        <v>3431</v>
      </c>
      <c r="F5" s="237" t="s">
        <v>3432</v>
      </c>
      <c r="G5" s="237" t="s">
        <v>21</v>
      </c>
      <c r="H5" s="237" t="s">
        <v>3433</v>
      </c>
      <c r="I5" s="237" t="s">
        <v>21</v>
      </c>
      <c r="J5" s="237" t="s">
        <v>3434</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654</v>
      </c>
      <c r="B6" s="236" t="s">
        <v>3435</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3436</v>
      </c>
      <c r="B7" s="237" t="s">
        <v>3437</v>
      </c>
      <c r="C7" s="237" t="s">
        <v>3438</v>
      </c>
      <c r="D7" s="237" t="s">
        <v>3439</v>
      </c>
      <c r="E7" s="237" t="s">
        <v>3431</v>
      </c>
      <c r="F7" s="237" t="s">
        <v>3440</v>
      </c>
      <c r="G7" s="237" t="s">
        <v>21</v>
      </c>
      <c r="H7" s="237" t="s">
        <v>3441</v>
      </c>
      <c r="I7" s="237" t="s">
        <v>21</v>
      </c>
      <c r="J7" s="237" t="s">
        <v>3442</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3443</v>
      </c>
      <c r="B8" s="237" t="s">
        <v>3444</v>
      </c>
      <c r="C8" s="237" t="s">
        <v>3445</v>
      </c>
      <c r="D8" s="237" t="s">
        <v>3446</v>
      </c>
      <c r="E8" s="237" t="s">
        <v>21</v>
      </c>
      <c r="F8" s="237" t="s">
        <v>21</v>
      </c>
      <c r="G8" s="237" t="s">
        <v>21</v>
      </c>
      <c r="H8" s="237" t="s">
        <v>3447</v>
      </c>
      <c r="I8" s="237" t="s">
        <v>3448</v>
      </c>
      <c r="J8" s="237" t="s">
        <v>3449</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3450</v>
      </c>
      <c r="B9" s="237" t="s">
        <v>3451</v>
      </c>
      <c r="C9" s="237" t="s">
        <v>3452</v>
      </c>
      <c r="D9" s="237" t="s">
        <v>3453</v>
      </c>
      <c r="E9" s="237" t="s">
        <v>21</v>
      </c>
      <c r="F9" s="237" t="s">
        <v>21</v>
      </c>
      <c r="G9" s="237" t="s">
        <v>21</v>
      </c>
      <c r="H9" s="237" t="s">
        <v>3454</v>
      </c>
      <c r="I9" s="237" t="s">
        <v>3455</v>
      </c>
      <c r="J9" s="237" t="s">
        <v>3456</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3457</v>
      </c>
      <c r="B10" s="237" t="s">
        <v>3458</v>
      </c>
      <c r="C10" s="237" t="s">
        <v>3459</v>
      </c>
      <c r="D10" s="237" t="s">
        <v>3460</v>
      </c>
      <c r="E10" s="237" t="s">
        <v>21</v>
      </c>
      <c r="F10" s="237" t="s">
        <v>21</v>
      </c>
      <c r="G10" s="237" t="s">
        <v>21</v>
      </c>
      <c r="H10" s="237" t="s">
        <v>3461</v>
      </c>
      <c r="I10" s="237" t="s">
        <v>3462</v>
      </c>
      <c r="J10" s="237" t="s">
        <v>3463</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3464</v>
      </c>
      <c r="B11" s="237" t="s">
        <v>3465</v>
      </c>
      <c r="C11" s="237" t="s">
        <v>3466</v>
      </c>
      <c r="D11" s="237" t="s">
        <v>3467</v>
      </c>
      <c r="E11" s="237" t="s">
        <v>21</v>
      </c>
      <c r="F11" s="237" t="s">
        <v>21</v>
      </c>
      <c r="G11" s="237" t="s">
        <v>21</v>
      </c>
      <c r="H11" s="237" t="s">
        <v>3468</v>
      </c>
      <c r="I11" s="237" t="s">
        <v>21</v>
      </c>
      <c r="J11" s="237" t="s">
        <v>3469</v>
      </c>
      <c r="K11" s="240">
        <f>IF(COUNTIF(L11:AY11,"&lt;&gt;")=0,"",SUMPRODUCT(((Recommendations[ImplStatus]="Implemented")+(Recommendations[ImplStatus]="Compensated"))*ISNUMBER(MATCH(Recommendations[Id],L11:AY11,0)))/COUNTIF(L11:AY11,"&lt;&gt;"))</f>
        <v>0</v>
      </c>
      <c r="L11" s="243" t="s">
        <v>92</v>
      </c>
      <c r="M11" s="243" t="s">
        <v>214</v>
      </c>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3470</v>
      </c>
      <c r="B12" s="237" t="s">
        <v>3471</v>
      </c>
      <c r="C12" s="237" t="s">
        <v>3472</v>
      </c>
      <c r="D12" s="237" t="s">
        <v>3473</v>
      </c>
      <c r="E12" s="237" t="s">
        <v>21</v>
      </c>
      <c r="F12" s="237" t="s">
        <v>21</v>
      </c>
      <c r="G12" s="237" t="s">
        <v>3474</v>
      </c>
      <c r="H12" s="237" t="s">
        <v>3475</v>
      </c>
      <c r="I12" s="237" t="s">
        <v>21</v>
      </c>
      <c r="J12" s="237" t="s">
        <v>3476</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3477</v>
      </c>
      <c r="B13" s="237" t="s">
        <v>3478</v>
      </c>
      <c r="C13" s="237" t="s">
        <v>3479</v>
      </c>
      <c r="D13" s="237" t="s">
        <v>3480</v>
      </c>
      <c r="E13" s="237" t="s">
        <v>21</v>
      </c>
      <c r="F13" s="237" t="s">
        <v>21</v>
      </c>
      <c r="G13" s="237" t="s">
        <v>21</v>
      </c>
      <c r="H13" s="237" t="s">
        <v>3481</v>
      </c>
      <c r="I13" s="237" t="s">
        <v>21</v>
      </c>
      <c r="J13" s="237" t="s">
        <v>3482</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3483</v>
      </c>
      <c r="B14" s="237" t="s">
        <v>3484</v>
      </c>
      <c r="C14" s="237" t="s">
        <v>3485</v>
      </c>
      <c r="D14" s="237" t="s">
        <v>3486</v>
      </c>
      <c r="E14" s="237" t="s">
        <v>21</v>
      </c>
      <c r="F14" s="237" t="s">
        <v>3487</v>
      </c>
      <c r="G14" s="237" t="s">
        <v>21</v>
      </c>
      <c r="H14" s="237" t="s">
        <v>3488</v>
      </c>
      <c r="I14" s="237" t="s">
        <v>3489</v>
      </c>
      <c r="J14" s="237" t="s">
        <v>3490</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659</v>
      </c>
      <c r="B15" s="236" t="s">
        <v>3491</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3492</v>
      </c>
      <c r="B16" s="237" t="s">
        <v>3493</v>
      </c>
      <c r="C16" s="237" t="s">
        <v>3494</v>
      </c>
      <c r="D16" s="237" t="s">
        <v>3486</v>
      </c>
      <c r="E16" s="237" t="s">
        <v>21</v>
      </c>
      <c r="F16" s="237" t="s">
        <v>3495</v>
      </c>
      <c r="G16" s="237" t="s">
        <v>21</v>
      </c>
      <c r="H16" s="237" t="s">
        <v>3496</v>
      </c>
      <c r="I16" s="237" t="s">
        <v>21</v>
      </c>
      <c r="J16" s="237" t="s">
        <v>3497</v>
      </c>
      <c r="K16" s="240">
        <f>IF(COUNTIF(L16:AY16,"&lt;&gt;")=0,"",SUMPRODUCT(((Recommendations[ImplStatus]="Implemented")+(Recommendations[ImplStatus]="Compensated"))*ISNUMBER(MATCH(Recommendations[Id],L16:AY16,0)))/COUNTIF(L16:AY16,"&lt;&gt;"))</f>
        <v>0</v>
      </c>
      <c r="L16" s="243" t="s">
        <v>25</v>
      </c>
      <c r="M16" s="243" t="s">
        <v>30</v>
      </c>
      <c r="N16" s="243" t="s">
        <v>78</v>
      </c>
      <c r="O16" s="243" t="s">
        <v>82</v>
      </c>
      <c r="P16" s="243" t="s">
        <v>92</v>
      </c>
      <c r="Q16" s="243" t="s">
        <v>128</v>
      </c>
      <c r="R16" s="243" t="s">
        <v>197</v>
      </c>
      <c r="S16" s="243" t="s">
        <v>201</v>
      </c>
      <c r="T16" s="243" t="s">
        <v>214</v>
      </c>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3498</v>
      </c>
      <c r="B17" s="237" t="s">
        <v>3499</v>
      </c>
      <c r="C17" s="237" t="s">
        <v>3500</v>
      </c>
      <c r="D17" s="237" t="s">
        <v>3501</v>
      </c>
      <c r="E17" s="237" t="s">
        <v>21</v>
      </c>
      <c r="F17" s="237" t="s">
        <v>3495</v>
      </c>
      <c r="G17" s="237" t="s">
        <v>21</v>
      </c>
      <c r="H17" s="237" t="s">
        <v>3502</v>
      </c>
      <c r="I17" s="237" t="s">
        <v>21</v>
      </c>
      <c r="J17" s="237" t="s">
        <v>3503</v>
      </c>
      <c r="K17" s="240">
        <f>IF(COUNTIF(L17:AY17,"&lt;&gt;")=0,"",SUMPRODUCT(((Recommendations[ImplStatus]="Implemented")+(Recommendations[ImplStatus]="Compensated"))*ISNUMBER(MATCH(Recommendations[Id],L17:AY17,0)))/COUNTIF(L17:AY17,"&lt;&gt;"))</f>
        <v>0</v>
      </c>
      <c r="L17" s="243" t="s">
        <v>30</v>
      </c>
      <c r="M17" s="243" t="s">
        <v>82</v>
      </c>
      <c r="N17" s="243" t="s">
        <v>201</v>
      </c>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3504</v>
      </c>
      <c r="B18" s="237" t="s">
        <v>3505</v>
      </c>
      <c r="C18" s="237" t="s">
        <v>3506</v>
      </c>
      <c r="D18" s="237" t="s">
        <v>21</v>
      </c>
      <c r="E18" s="237" t="s">
        <v>21</v>
      </c>
      <c r="F18" s="237" t="s">
        <v>21</v>
      </c>
      <c r="G18" s="237" t="s">
        <v>21</v>
      </c>
      <c r="H18" s="237" t="s">
        <v>3507</v>
      </c>
      <c r="I18" s="237" t="s">
        <v>21</v>
      </c>
      <c r="J18" s="237" t="s">
        <v>3508</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664</v>
      </c>
      <c r="B19" s="236" t="s">
        <v>3509</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3510</v>
      </c>
      <c r="B20" s="237" t="s">
        <v>3511</v>
      </c>
      <c r="C20" s="237" t="s">
        <v>3512</v>
      </c>
      <c r="D20" s="237" t="s">
        <v>3513</v>
      </c>
      <c r="E20" s="237" t="s">
        <v>21</v>
      </c>
      <c r="F20" s="237" t="s">
        <v>3514</v>
      </c>
      <c r="G20" s="237" t="s">
        <v>21</v>
      </c>
      <c r="H20" s="237" t="s">
        <v>3515</v>
      </c>
      <c r="I20" s="237" t="s">
        <v>21</v>
      </c>
      <c r="J20" s="237" t="s">
        <v>3516</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3517</v>
      </c>
      <c r="B21" s="237" t="s">
        <v>3518</v>
      </c>
      <c r="C21" s="237" t="s">
        <v>3519</v>
      </c>
      <c r="D21" s="237" t="s">
        <v>3520</v>
      </c>
      <c r="E21" s="237" t="s">
        <v>3521</v>
      </c>
      <c r="F21" s="237" t="s">
        <v>21</v>
      </c>
      <c r="G21" s="237" t="s">
        <v>21</v>
      </c>
      <c r="H21" s="237" t="s">
        <v>3522</v>
      </c>
      <c r="I21" s="237" t="s">
        <v>3523</v>
      </c>
      <c r="J21" s="237" t="s">
        <v>3524</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3525</v>
      </c>
      <c r="B22" s="237" t="s">
        <v>3526</v>
      </c>
      <c r="C22" s="237" t="s">
        <v>3527</v>
      </c>
      <c r="D22" s="237" t="s">
        <v>3528</v>
      </c>
      <c r="E22" s="237" t="s">
        <v>21</v>
      </c>
      <c r="F22" s="237" t="s">
        <v>3529</v>
      </c>
      <c r="G22" s="237" t="s">
        <v>21</v>
      </c>
      <c r="H22" s="237" t="s">
        <v>3530</v>
      </c>
      <c r="I22" s="237" t="s">
        <v>21</v>
      </c>
      <c r="J22" s="237" t="s">
        <v>3531</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3532</v>
      </c>
      <c r="B23" s="237" t="s">
        <v>3533</v>
      </c>
      <c r="C23" s="237" t="s">
        <v>3534</v>
      </c>
      <c r="D23" s="237" t="s">
        <v>3535</v>
      </c>
      <c r="E23" s="237" t="s">
        <v>21</v>
      </c>
      <c r="F23" s="237" t="s">
        <v>21</v>
      </c>
      <c r="G23" s="237" t="s">
        <v>21</v>
      </c>
      <c r="H23" s="237" t="s">
        <v>3536</v>
      </c>
      <c r="I23" s="237" t="s">
        <v>3537</v>
      </c>
      <c r="J23" s="237" t="s">
        <v>3538</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3539</v>
      </c>
      <c r="B24" s="237" t="s">
        <v>3540</v>
      </c>
      <c r="C24" s="237" t="s">
        <v>3541</v>
      </c>
      <c r="D24" s="237" t="s">
        <v>3535</v>
      </c>
      <c r="E24" s="237" t="s">
        <v>21</v>
      </c>
      <c r="F24" s="237" t="s">
        <v>3542</v>
      </c>
      <c r="G24" s="237" t="s">
        <v>21</v>
      </c>
      <c r="H24" s="237" t="s">
        <v>3543</v>
      </c>
      <c r="I24" s="237" t="s">
        <v>21</v>
      </c>
      <c r="J24" s="237" t="s">
        <v>3544</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668</v>
      </c>
      <c r="B25" s="236" t="s">
        <v>3545</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3546</v>
      </c>
      <c r="B26" s="237" t="s">
        <v>3547</v>
      </c>
      <c r="C26" s="237" t="s">
        <v>3548</v>
      </c>
      <c r="D26" s="237" t="s">
        <v>3549</v>
      </c>
      <c r="E26" s="237" t="s">
        <v>21</v>
      </c>
      <c r="F26" s="237" t="s">
        <v>3550</v>
      </c>
      <c r="G26" s="237" t="s">
        <v>21</v>
      </c>
      <c r="H26" s="237" t="s">
        <v>3551</v>
      </c>
      <c r="I26" s="237" t="s">
        <v>21</v>
      </c>
      <c r="J26" s="237" t="s">
        <v>3552</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3553</v>
      </c>
      <c r="B27" s="235" t="s">
        <v>3554</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674</v>
      </c>
      <c r="B28" s="236" t="s">
        <v>3555</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3556</v>
      </c>
      <c r="B29" s="237" t="s">
        <v>3557</v>
      </c>
      <c r="C29" s="237" t="s">
        <v>3558</v>
      </c>
      <c r="D29" s="237" t="s">
        <v>3559</v>
      </c>
      <c r="E29" s="237" t="s">
        <v>3560</v>
      </c>
      <c r="F29" s="237" t="s">
        <v>21</v>
      </c>
      <c r="G29" s="237" t="s">
        <v>21</v>
      </c>
      <c r="H29" s="237" t="s">
        <v>3561</v>
      </c>
      <c r="I29" s="237" t="s">
        <v>21</v>
      </c>
      <c r="J29" s="237" t="s">
        <v>3562</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3563</v>
      </c>
      <c r="B30" s="237" t="s">
        <v>3564</v>
      </c>
      <c r="C30" s="237" t="s">
        <v>3429</v>
      </c>
      <c r="D30" s="237" t="s">
        <v>3430</v>
      </c>
      <c r="E30" s="237" t="s">
        <v>21</v>
      </c>
      <c r="F30" s="237" t="s">
        <v>3432</v>
      </c>
      <c r="G30" s="237" t="s">
        <v>21</v>
      </c>
      <c r="H30" s="237" t="s">
        <v>3565</v>
      </c>
      <c r="I30" s="237" t="s">
        <v>21</v>
      </c>
      <c r="J30" s="237" t="s">
        <v>3566</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679</v>
      </c>
      <c r="B31" s="236" t="s">
        <v>3567</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3568</v>
      </c>
      <c r="B32" s="237" t="s">
        <v>3569</v>
      </c>
      <c r="C32" s="237" t="s">
        <v>3570</v>
      </c>
      <c r="D32" s="237" t="s">
        <v>3571</v>
      </c>
      <c r="E32" s="237" t="s">
        <v>21</v>
      </c>
      <c r="F32" s="237" t="s">
        <v>21</v>
      </c>
      <c r="G32" s="237" t="s">
        <v>3572</v>
      </c>
      <c r="H32" s="237" t="s">
        <v>3573</v>
      </c>
      <c r="I32" s="237" t="s">
        <v>21</v>
      </c>
      <c r="J32" s="237" t="s">
        <v>3574</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3575</v>
      </c>
      <c r="B33" s="237" t="s">
        <v>3576</v>
      </c>
      <c r="C33" s="237" t="s">
        <v>3577</v>
      </c>
      <c r="D33" s="237" t="s">
        <v>3578</v>
      </c>
      <c r="E33" s="237" t="s">
        <v>21</v>
      </c>
      <c r="F33" s="237" t="s">
        <v>3579</v>
      </c>
      <c r="G33" s="237" t="s">
        <v>21</v>
      </c>
      <c r="H33" s="237" t="s">
        <v>3580</v>
      </c>
      <c r="I33" s="237" t="s">
        <v>3581</v>
      </c>
      <c r="J33" s="237" t="s">
        <v>3582</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3583</v>
      </c>
      <c r="B34" s="237" t="s">
        <v>3584</v>
      </c>
      <c r="C34" s="237" t="s">
        <v>3585</v>
      </c>
      <c r="D34" s="237" t="s">
        <v>3586</v>
      </c>
      <c r="E34" s="237" t="s">
        <v>21</v>
      </c>
      <c r="F34" s="237" t="s">
        <v>21</v>
      </c>
      <c r="G34" s="237" t="s">
        <v>21</v>
      </c>
      <c r="H34" s="237" t="s">
        <v>3587</v>
      </c>
      <c r="I34" s="237" t="s">
        <v>21</v>
      </c>
      <c r="J34" s="237" t="s">
        <v>3588</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3589</v>
      </c>
      <c r="B35" s="237" t="s">
        <v>3590</v>
      </c>
      <c r="C35" s="237" t="s">
        <v>3591</v>
      </c>
      <c r="D35" s="237" t="s">
        <v>3592</v>
      </c>
      <c r="E35" s="237" t="s">
        <v>21</v>
      </c>
      <c r="F35" s="237" t="s">
        <v>3593</v>
      </c>
      <c r="G35" s="237" t="s">
        <v>21</v>
      </c>
      <c r="H35" s="237" t="s">
        <v>3594</v>
      </c>
      <c r="I35" s="237" t="s">
        <v>21</v>
      </c>
      <c r="J35" s="237" t="s">
        <v>3595</v>
      </c>
      <c r="K35" s="240">
        <f>IF(COUNTIF(L35:AY35,"&lt;&gt;")=0,"",SUMPRODUCT(((Recommendations[ImplStatus]="Implemented")+(Recommendations[ImplStatus]="Compensated"))*ISNUMBER(MATCH(Recommendations[Id],L35:AY35,0)))/COUNTIF(L35:AY35,"&lt;&gt;"))</f>
        <v>0</v>
      </c>
      <c r="L35" s="243" t="s">
        <v>326</v>
      </c>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3596</v>
      </c>
      <c r="B36" s="237" t="s">
        <v>3597</v>
      </c>
      <c r="C36" s="237" t="s">
        <v>3598</v>
      </c>
      <c r="D36" s="237" t="s">
        <v>3599</v>
      </c>
      <c r="E36" s="237" t="s">
        <v>21</v>
      </c>
      <c r="F36" s="237" t="s">
        <v>21</v>
      </c>
      <c r="G36" s="237" t="s">
        <v>3600</v>
      </c>
      <c r="H36" s="237" t="s">
        <v>3601</v>
      </c>
      <c r="I36" s="237" t="s">
        <v>21</v>
      </c>
      <c r="J36" s="237" t="s">
        <v>3602</v>
      </c>
      <c r="K36" s="240">
        <f>IF(COUNTIF(L36:AY36,"&lt;&gt;")=0,"",SUMPRODUCT(((Recommendations[ImplStatus]="Implemented")+(Recommendations[ImplStatus]="Compensated"))*ISNUMBER(MATCH(Recommendations[Id],L36:AY36,0)))/COUNTIF(L36:AY36,"&lt;&gt;"))</f>
        <v>0</v>
      </c>
      <c r="L36" s="243" t="s">
        <v>341</v>
      </c>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3603</v>
      </c>
      <c r="B37" s="237" t="s">
        <v>3604</v>
      </c>
      <c r="C37" s="237" t="s">
        <v>3605</v>
      </c>
      <c r="D37" s="237" t="s">
        <v>3606</v>
      </c>
      <c r="E37" s="237" t="s">
        <v>21</v>
      </c>
      <c r="F37" s="237" t="s">
        <v>3607</v>
      </c>
      <c r="G37" s="237" t="s">
        <v>3608</v>
      </c>
      <c r="H37" s="237" t="s">
        <v>3609</v>
      </c>
      <c r="I37" s="237" t="s">
        <v>21</v>
      </c>
      <c r="J37" s="237" t="s">
        <v>3610</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3611</v>
      </c>
      <c r="B38" s="237" t="s">
        <v>3612</v>
      </c>
      <c r="C38" s="237" t="s">
        <v>3613</v>
      </c>
      <c r="D38" s="237" t="s">
        <v>3614</v>
      </c>
      <c r="E38" s="237" t="s">
        <v>21</v>
      </c>
      <c r="F38" s="237" t="s">
        <v>3607</v>
      </c>
      <c r="G38" s="237" t="s">
        <v>3615</v>
      </c>
      <c r="H38" s="237" t="s">
        <v>3616</v>
      </c>
      <c r="I38" s="237" t="s">
        <v>3617</v>
      </c>
      <c r="J38" s="237" t="s">
        <v>3618</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683</v>
      </c>
      <c r="B39" s="236" t="s">
        <v>3619</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3620</v>
      </c>
      <c r="B40" s="237" t="s">
        <v>3621</v>
      </c>
      <c r="C40" s="237" t="s">
        <v>3622</v>
      </c>
      <c r="D40" s="237" t="s">
        <v>3623</v>
      </c>
      <c r="E40" s="237" t="s">
        <v>21</v>
      </c>
      <c r="F40" s="237" t="s">
        <v>21</v>
      </c>
      <c r="G40" s="237" t="s">
        <v>21</v>
      </c>
      <c r="H40" s="237" t="s">
        <v>3624</v>
      </c>
      <c r="I40" s="237" t="s">
        <v>3625</v>
      </c>
      <c r="J40" s="237" t="s">
        <v>3626</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3627</v>
      </c>
      <c r="B41" s="237" t="s">
        <v>3628</v>
      </c>
      <c r="C41" s="237" t="s">
        <v>3629</v>
      </c>
      <c r="D41" s="237" t="s">
        <v>21</v>
      </c>
      <c r="E41" s="237" t="s">
        <v>21</v>
      </c>
      <c r="F41" s="237" t="s">
        <v>21</v>
      </c>
      <c r="G41" s="237" t="s">
        <v>21</v>
      </c>
      <c r="H41" s="237" t="s">
        <v>3630</v>
      </c>
      <c r="I41" s="237" t="s">
        <v>21</v>
      </c>
      <c r="J41" s="237" t="s">
        <v>3631</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3632</v>
      </c>
      <c r="B42" s="235" t="s">
        <v>3633</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706</v>
      </c>
      <c r="B43" s="236" t="s">
        <v>3634</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3635</v>
      </c>
      <c r="B44" s="237" t="s">
        <v>3636</v>
      </c>
      <c r="C44" s="237" t="s">
        <v>3637</v>
      </c>
      <c r="D44" s="237" t="s">
        <v>3638</v>
      </c>
      <c r="E44" s="237" t="s">
        <v>3424</v>
      </c>
      <c r="F44" s="237" t="s">
        <v>21</v>
      </c>
      <c r="G44" s="237" t="s">
        <v>21</v>
      </c>
      <c r="H44" s="237" t="s">
        <v>3639</v>
      </c>
      <c r="I44" s="237" t="s">
        <v>21</v>
      </c>
      <c r="J44" s="237" t="s">
        <v>3640</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3641</v>
      </c>
      <c r="B45" s="237" t="s">
        <v>3642</v>
      </c>
      <c r="C45" s="237" t="s">
        <v>3643</v>
      </c>
      <c r="D45" s="237" t="s">
        <v>3430</v>
      </c>
      <c r="E45" s="237" t="s">
        <v>21</v>
      </c>
      <c r="F45" s="237" t="s">
        <v>3432</v>
      </c>
      <c r="G45" s="237" t="s">
        <v>21</v>
      </c>
      <c r="H45" s="237" t="s">
        <v>3644</v>
      </c>
      <c r="I45" s="237" t="s">
        <v>21</v>
      </c>
      <c r="J45" s="237" t="s">
        <v>3645</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712</v>
      </c>
      <c r="B46" s="236" t="s">
        <v>3646</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3647</v>
      </c>
      <c r="B47" s="237" t="s">
        <v>3648</v>
      </c>
      <c r="C47" s="237" t="s">
        <v>3649</v>
      </c>
      <c r="D47" s="237" t="s">
        <v>3650</v>
      </c>
      <c r="E47" s="237" t="s">
        <v>21</v>
      </c>
      <c r="F47" s="237" t="s">
        <v>3651</v>
      </c>
      <c r="G47" s="237" t="s">
        <v>3652</v>
      </c>
      <c r="H47" s="237" t="s">
        <v>3653</v>
      </c>
      <c r="I47" s="237" t="s">
        <v>3654</v>
      </c>
      <c r="J47" s="237" t="s">
        <v>3655</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716</v>
      </c>
      <c r="B48" s="236" t="s">
        <v>3656</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3657</v>
      </c>
      <c r="B49" s="237" t="s">
        <v>3658</v>
      </c>
      <c r="C49" s="237" t="s">
        <v>3659</v>
      </c>
      <c r="D49" s="237" t="s">
        <v>3660</v>
      </c>
      <c r="E49" s="237" t="s">
        <v>3661</v>
      </c>
      <c r="F49" s="237" t="s">
        <v>21</v>
      </c>
      <c r="G49" s="237" t="s">
        <v>21</v>
      </c>
      <c r="H49" s="237" t="s">
        <v>3662</v>
      </c>
      <c r="I49" s="237" t="s">
        <v>3663</v>
      </c>
      <c r="J49" s="237" t="s">
        <v>3664</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3665</v>
      </c>
      <c r="B50" s="237" t="s">
        <v>3666</v>
      </c>
      <c r="C50" s="237" t="s">
        <v>3667</v>
      </c>
      <c r="D50" s="237" t="s">
        <v>21</v>
      </c>
      <c r="E50" s="237" t="s">
        <v>3668</v>
      </c>
      <c r="F50" s="237" t="s">
        <v>3669</v>
      </c>
      <c r="G50" s="237" t="s">
        <v>21</v>
      </c>
      <c r="H50" s="237" t="s">
        <v>3662</v>
      </c>
      <c r="I50" s="237" t="s">
        <v>3670</v>
      </c>
      <c r="J50" s="237" t="s">
        <v>3671</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3672</v>
      </c>
      <c r="B51" s="237" t="s">
        <v>3673</v>
      </c>
      <c r="C51" s="237" t="s">
        <v>3674</v>
      </c>
      <c r="D51" s="237" t="s">
        <v>21</v>
      </c>
      <c r="E51" s="237" t="s">
        <v>21</v>
      </c>
      <c r="F51" s="237" t="s">
        <v>3675</v>
      </c>
      <c r="G51" s="237" t="s">
        <v>21</v>
      </c>
      <c r="H51" s="237" t="s">
        <v>3662</v>
      </c>
      <c r="I51" s="237" t="s">
        <v>3676</v>
      </c>
      <c r="J51" s="237" t="s">
        <v>3677</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3678</v>
      </c>
      <c r="B52" s="237" t="s">
        <v>3679</v>
      </c>
      <c r="C52" s="237" t="s">
        <v>3680</v>
      </c>
      <c r="D52" s="237" t="s">
        <v>21</v>
      </c>
      <c r="E52" s="237" t="s">
        <v>21</v>
      </c>
      <c r="F52" s="237" t="s">
        <v>3681</v>
      </c>
      <c r="G52" s="237" t="s">
        <v>21</v>
      </c>
      <c r="H52" s="237" t="s">
        <v>3662</v>
      </c>
      <c r="I52" s="237" t="s">
        <v>3682</v>
      </c>
      <c r="J52" s="237" t="s">
        <v>3683</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3684</v>
      </c>
      <c r="B53" s="237" t="s">
        <v>3685</v>
      </c>
      <c r="C53" s="237" t="s">
        <v>3686</v>
      </c>
      <c r="D53" s="237" t="s">
        <v>3687</v>
      </c>
      <c r="E53" s="237" t="s">
        <v>3688</v>
      </c>
      <c r="F53" s="237" t="s">
        <v>21</v>
      </c>
      <c r="G53" s="237" t="s">
        <v>21</v>
      </c>
      <c r="H53" s="237" t="s">
        <v>3689</v>
      </c>
      <c r="I53" s="237" t="s">
        <v>21</v>
      </c>
      <c r="J53" s="237" t="s">
        <v>3690</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3691</v>
      </c>
      <c r="B54" s="237" t="s">
        <v>3692</v>
      </c>
      <c r="C54" s="237" t="s">
        <v>3686</v>
      </c>
      <c r="D54" s="237" t="s">
        <v>3687</v>
      </c>
      <c r="E54" s="237" t="s">
        <v>21</v>
      </c>
      <c r="F54" s="237" t="s">
        <v>21</v>
      </c>
      <c r="G54" s="237" t="s">
        <v>21</v>
      </c>
      <c r="H54" s="237" t="s">
        <v>3693</v>
      </c>
      <c r="I54" s="237" t="s">
        <v>3694</v>
      </c>
      <c r="J54" s="237" t="s">
        <v>3695</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720</v>
      </c>
      <c r="B55" s="236" t="s">
        <v>3696</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3697</v>
      </c>
      <c r="B56" s="237" t="s">
        <v>3698</v>
      </c>
      <c r="C56" s="237" t="s">
        <v>3699</v>
      </c>
      <c r="D56" s="237" t="s">
        <v>3700</v>
      </c>
      <c r="E56" s="237" t="s">
        <v>3701</v>
      </c>
      <c r="F56" s="237" t="s">
        <v>21</v>
      </c>
      <c r="G56" s="237" t="s">
        <v>3702</v>
      </c>
      <c r="H56" s="237" t="s">
        <v>21</v>
      </c>
      <c r="I56" s="237" t="s">
        <v>21</v>
      </c>
      <c r="J56" s="237" t="s">
        <v>3703</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3704</v>
      </c>
      <c r="B57" s="237" t="s">
        <v>3705</v>
      </c>
      <c r="C57" s="237" t="s">
        <v>3706</v>
      </c>
      <c r="D57" s="237" t="s">
        <v>3707</v>
      </c>
      <c r="E57" s="237" t="s">
        <v>3708</v>
      </c>
      <c r="F57" s="237" t="s">
        <v>21</v>
      </c>
      <c r="G57" s="237" t="s">
        <v>3709</v>
      </c>
      <c r="H57" s="237" t="s">
        <v>3710</v>
      </c>
      <c r="I57" s="237" t="s">
        <v>21</v>
      </c>
      <c r="J57" s="237" t="s">
        <v>3711</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724</v>
      </c>
      <c r="B58" s="236" t="s">
        <v>3712</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3713</v>
      </c>
      <c r="B59" s="237" t="s">
        <v>3714</v>
      </c>
      <c r="C59" s="237" t="s">
        <v>3715</v>
      </c>
      <c r="D59" s="237" t="s">
        <v>3716</v>
      </c>
      <c r="E59" s="237" t="s">
        <v>21</v>
      </c>
      <c r="F59" s="237" t="s">
        <v>21</v>
      </c>
      <c r="G59" s="237" t="s">
        <v>3717</v>
      </c>
      <c r="H59" s="237" t="s">
        <v>3718</v>
      </c>
      <c r="I59" s="237" t="s">
        <v>3719</v>
      </c>
      <c r="J59" s="237" t="s">
        <v>3720</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3721</v>
      </c>
      <c r="B60" s="237" t="s">
        <v>3722</v>
      </c>
      <c r="C60" s="237" t="s">
        <v>3723</v>
      </c>
      <c r="D60" s="237" t="s">
        <v>21</v>
      </c>
      <c r="E60" s="237" t="s">
        <v>3724</v>
      </c>
      <c r="F60" s="237" t="s">
        <v>3725</v>
      </c>
      <c r="G60" s="237" t="s">
        <v>21</v>
      </c>
      <c r="H60" s="237" t="s">
        <v>3726</v>
      </c>
      <c r="I60" s="237" t="s">
        <v>3727</v>
      </c>
      <c r="J60" s="237" t="s">
        <v>3728</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3729</v>
      </c>
      <c r="B61" s="237" t="s">
        <v>3730</v>
      </c>
      <c r="C61" s="237" t="s">
        <v>3731</v>
      </c>
      <c r="D61" s="237" t="s">
        <v>21</v>
      </c>
      <c r="E61" s="237" t="s">
        <v>21</v>
      </c>
      <c r="F61" s="237" t="s">
        <v>21</v>
      </c>
      <c r="G61" s="237" t="s">
        <v>3732</v>
      </c>
      <c r="H61" s="237" t="s">
        <v>3733</v>
      </c>
      <c r="I61" s="237" t="s">
        <v>3734</v>
      </c>
      <c r="J61" s="237" t="s">
        <v>3735</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3736</v>
      </c>
      <c r="B62" s="237" t="s">
        <v>3737</v>
      </c>
      <c r="C62" s="237" t="s">
        <v>3738</v>
      </c>
      <c r="D62" s="237" t="s">
        <v>3739</v>
      </c>
      <c r="E62" s="237" t="s">
        <v>21</v>
      </c>
      <c r="F62" s="237" t="s">
        <v>21</v>
      </c>
      <c r="G62" s="237" t="s">
        <v>21</v>
      </c>
      <c r="H62" s="237" t="s">
        <v>3740</v>
      </c>
      <c r="I62" s="237" t="s">
        <v>3741</v>
      </c>
      <c r="J62" s="237" t="s">
        <v>3742</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728</v>
      </c>
      <c r="B63" s="236" t="s">
        <v>3743</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3744</v>
      </c>
      <c r="B64" s="237" t="s">
        <v>3745</v>
      </c>
      <c r="C64" s="237" t="s">
        <v>3746</v>
      </c>
      <c r="D64" s="237" t="s">
        <v>3747</v>
      </c>
      <c r="E64" s="237" t="s">
        <v>21</v>
      </c>
      <c r="F64" s="237" t="s">
        <v>21</v>
      </c>
      <c r="G64" s="237" t="s">
        <v>3748</v>
      </c>
      <c r="H64" s="237" t="s">
        <v>3749</v>
      </c>
      <c r="I64" s="237" t="s">
        <v>3750</v>
      </c>
      <c r="J64" s="237" t="s">
        <v>3751</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3752</v>
      </c>
      <c r="B65" s="237" t="s">
        <v>3753</v>
      </c>
      <c r="C65" s="237" t="s">
        <v>3754</v>
      </c>
      <c r="D65" s="237" t="s">
        <v>3755</v>
      </c>
      <c r="E65" s="237" t="s">
        <v>21</v>
      </c>
      <c r="F65" s="237" t="s">
        <v>21</v>
      </c>
      <c r="G65" s="237" t="s">
        <v>21</v>
      </c>
      <c r="H65" s="237" t="s">
        <v>3756</v>
      </c>
      <c r="I65" s="237" t="s">
        <v>3757</v>
      </c>
      <c r="J65" s="237" t="s">
        <v>3758</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3759</v>
      </c>
      <c r="B66" s="237" t="s">
        <v>3760</v>
      </c>
      <c r="C66" s="237" t="s">
        <v>3761</v>
      </c>
      <c r="D66" s="237" t="s">
        <v>3762</v>
      </c>
      <c r="E66" s="237" t="s">
        <v>21</v>
      </c>
      <c r="F66" s="237" t="s">
        <v>21</v>
      </c>
      <c r="G66" s="237" t="s">
        <v>21</v>
      </c>
      <c r="H66" s="237" t="s">
        <v>3763</v>
      </c>
      <c r="I66" s="237" t="s">
        <v>3764</v>
      </c>
      <c r="J66" s="237" t="s">
        <v>3765</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3766</v>
      </c>
      <c r="B67" s="237" t="s">
        <v>3767</v>
      </c>
      <c r="C67" s="237" t="s">
        <v>3768</v>
      </c>
      <c r="D67" s="237" t="s">
        <v>3769</v>
      </c>
      <c r="E67" s="237" t="s">
        <v>21</v>
      </c>
      <c r="F67" s="237" t="s">
        <v>21</v>
      </c>
      <c r="G67" s="237" t="s">
        <v>21</v>
      </c>
      <c r="H67" s="237" t="s">
        <v>3770</v>
      </c>
      <c r="I67" s="237" t="s">
        <v>21</v>
      </c>
      <c r="J67" s="237" t="s">
        <v>3771</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3772</v>
      </c>
      <c r="B68" s="237" t="s">
        <v>3773</v>
      </c>
      <c r="C68" s="237" t="s">
        <v>3774</v>
      </c>
      <c r="D68" s="237" t="s">
        <v>21</v>
      </c>
      <c r="E68" s="237" t="s">
        <v>21</v>
      </c>
      <c r="F68" s="237" t="s">
        <v>21</v>
      </c>
      <c r="G68" s="237" t="s">
        <v>21</v>
      </c>
      <c r="H68" s="237" t="s">
        <v>3775</v>
      </c>
      <c r="I68" s="237" t="s">
        <v>21</v>
      </c>
      <c r="J68" s="237" t="s">
        <v>3776</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732</v>
      </c>
      <c r="B69" s="236" t="s">
        <v>3777</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3778</v>
      </c>
      <c r="B70" s="237" t="s">
        <v>3779</v>
      </c>
      <c r="C70" s="237" t="s">
        <v>3780</v>
      </c>
      <c r="D70" s="237" t="s">
        <v>21</v>
      </c>
      <c r="E70" s="237" t="s">
        <v>21</v>
      </c>
      <c r="F70" s="237" t="s">
        <v>21</v>
      </c>
      <c r="G70" s="237" t="s">
        <v>3781</v>
      </c>
      <c r="H70" s="237" t="s">
        <v>3782</v>
      </c>
      <c r="I70" s="237" t="s">
        <v>21</v>
      </c>
      <c r="J70" s="237" t="s">
        <v>3783</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3784</v>
      </c>
      <c r="B71" s="237" t="s">
        <v>3785</v>
      </c>
      <c r="C71" s="237" t="s">
        <v>3786</v>
      </c>
      <c r="D71" s="237" t="s">
        <v>21</v>
      </c>
      <c r="E71" s="237" t="s">
        <v>21</v>
      </c>
      <c r="F71" s="237" t="s">
        <v>21</v>
      </c>
      <c r="G71" s="237" t="s">
        <v>21</v>
      </c>
      <c r="H71" s="237" t="s">
        <v>3787</v>
      </c>
      <c r="I71" s="237" t="s">
        <v>21</v>
      </c>
      <c r="J71" s="237" t="s">
        <v>3788</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3789</v>
      </c>
      <c r="B72" s="237" t="s">
        <v>3790</v>
      </c>
      <c r="C72" s="237" t="s">
        <v>3791</v>
      </c>
      <c r="D72" s="237" t="s">
        <v>3792</v>
      </c>
      <c r="E72" s="237" t="s">
        <v>3793</v>
      </c>
      <c r="F72" s="237" t="s">
        <v>21</v>
      </c>
      <c r="G72" s="237" t="s">
        <v>21</v>
      </c>
      <c r="H72" s="237" t="s">
        <v>3794</v>
      </c>
      <c r="I72" s="237" t="s">
        <v>21</v>
      </c>
      <c r="J72" s="237" t="s">
        <v>3795</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3796</v>
      </c>
      <c r="B73" s="237" t="s">
        <v>3797</v>
      </c>
      <c r="C73" s="237" t="s">
        <v>3798</v>
      </c>
      <c r="D73" s="237" t="s">
        <v>3799</v>
      </c>
      <c r="E73" s="237" t="s">
        <v>3793</v>
      </c>
      <c r="F73" s="237" t="s">
        <v>21</v>
      </c>
      <c r="G73" s="237" t="s">
        <v>3800</v>
      </c>
      <c r="H73" s="237" t="s">
        <v>3801</v>
      </c>
      <c r="I73" s="237" t="s">
        <v>21</v>
      </c>
      <c r="J73" s="237" t="s">
        <v>3802</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3803</v>
      </c>
      <c r="B74" s="237" t="s">
        <v>3804</v>
      </c>
      <c r="C74" s="237" t="s">
        <v>3805</v>
      </c>
      <c r="D74" s="237" t="s">
        <v>3799</v>
      </c>
      <c r="E74" s="237" t="s">
        <v>3806</v>
      </c>
      <c r="F74" s="237" t="s">
        <v>21</v>
      </c>
      <c r="G74" s="237" t="s">
        <v>3807</v>
      </c>
      <c r="H74" s="237" t="s">
        <v>3808</v>
      </c>
      <c r="I74" s="237" t="s">
        <v>3809</v>
      </c>
      <c r="J74" s="237" t="s">
        <v>3810</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3811</v>
      </c>
      <c r="B75" s="237" t="s">
        <v>3812</v>
      </c>
      <c r="C75" s="237" t="s">
        <v>3813</v>
      </c>
      <c r="D75" s="237" t="s">
        <v>3814</v>
      </c>
      <c r="E75" s="237" t="s">
        <v>3806</v>
      </c>
      <c r="F75" s="237" t="s">
        <v>3815</v>
      </c>
      <c r="G75" s="237" t="s">
        <v>3816</v>
      </c>
      <c r="H75" s="237" t="s">
        <v>3817</v>
      </c>
      <c r="I75" s="237" t="s">
        <v>3818</v>
      </c>
      <c r="J75" s="237" t="s">
        <v>3819</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3820</v>
      </c>
      <c r="B76" s="237" t="s">
        <v>3821</v>
      </c>
      <c r="C76" s="237" t="s">
        <v>3822</v>
      </c>
      <c r="D76" s="237" t="s">
        <v>3823</v>
      </c>
      <c r="E76" s="237" t="s">
        <v>21</v>
      </c>
      <c r="F76" s="237" t="s">
        <v>21</v>
      </c>
      <c r="G76" s="237" t="s">
        <v>21</v>
      </c>
      <c r="H76" s="237" t="s">
        <v>3824</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3825</v>
      </c>
      <c r="B77" s="237" t="s">
        <v>3826</v>
      </c>
      <c r="C77" s="237" t="s">
        <v>3827</v>
      </c>
      <c r="D77" s="237" t="s">
        <v>21</v>
      </c>
      <c r="E77" s="237" t="s">
        <v>21</v>
      </c>
      <c r="F77" s="237" t="s">
        <v>21</v>
      </c>
      <c r="G77" s="237" t="s">
        <v>3828</v>
      </c>
      <c r="H77" s="237" t="s">
        <v>3829</v>
      </c>
      <c r="I77" s="237" t="s">
        <v>21</v>
      </c>
      <c r="J77" s="237" t="s">
        <v>3830</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3831</v>
      </c>
      <c r="B78" s="237" t="s">
        <v>3832</v>
      </c>
      <c r="C78" s="237" t="s">
        <v>3833</v>
      </c>
      <c r="D78" s="237" t="s">
        <v>21</v>
      </c>
      <c r="E78" s="237" t="s">
        <v>21</v>
      </c>
      <c r="F78" s="237" t="s">
        <v>21</v>
      </c>
      <c r="G78" s="237" t="s">
        <v>3834</v>
      </c>
      <c r="H78" s="237" t="s">
        <v>3835</v>
      </c>
      <c r="I78" s="237" t="s">
        <v>3836</v>
      </c>
      <c r="J78" s="237" t="s">
        <v>3837</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3838</v>
      </c>
      <c r="B79" s="235" t="s">
        <v>3839</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766</v>
      </c>
      <c r="B80" s="236" t="s">
        <v>3840</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3841</v>
      </c>
      <c r="B81" s="237" t="s">
        <v>3842</v>
      </c>
      <c r="C81" s="237" t="s">
        <v>3843</v>
      </c>
      <c r="D81" s="237" t="s">
        <v>3638</v>
      </c>
      <c r="E81" s="237" t="s">
        <v>3844</v>
      </c>
      <c r="F81" s="237" t="s">
        <v>21</v>
      </c>
      <c r="G81" s="237" t="s">
        <v>21</v>
      </c>
      <c r="H81" s="237" t="s">
        <v>3845</v>
      </c>
      <c r="I81" s="237" t="s">
        <v>21</v>
      </c>
      <c r="J81" s="237" t="s">
        <v>3846</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3847</v>
      </c>
      <c r="B82" s="237" t="s">
        <v>3848</v>
      </c>
      <c r="C82" s="237" t="s">
        <v>3429</v>
      </c>
      <c r="D82" s="237" t="s">
        <v>3430</v>
      </c>
      <c r="E82" s="237" t="s">
        <v>21</v>
      </c>
      <c r="F82" s="237" t="s">
        <v>3432</v>
      </c>
      <c r="G82" s="237" t="s">
        <v>21</v>
      </c>
      <c r="H82" s="237" t="s">
        <v>3849</v>
      </c>
      <c r="I82" s="237" t="s">
        <v>21</v>
      </c>
      <c r="J82" s="237" t="s">
        <v>3850</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771</v>
      </c>
      <c r="B83" s="236" t="s">
        <v>3851</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3852</v>
      </c>
      <c r="B84" s="237" t="s">
        <v>3853</v>
      </c>
      <c r="C84" s="237" t="s">
        <v>3854</v>
      </c>
      <c r="D84" s="237" t="s">
        <v>3855</v>
      </c>
      <c r="E84" s="237" t="s">
        <v>21</v>
      </c>
      <c r="F84" s="237" t="s">
        <v>3856</v>
      </c>
      <c r="G84" s="237" t="s">
        <v>3857</v>
      </c>
      <c r="H84" s="237" t="s">
        <v>3858</v>
      </c>
      <c r="I84" s="237" t="s">
        <v>3859</v>
      </c>
      <c r="J84" s="237" t="s">
        <v>3860</v>
      </c>
      <c r="K84" s="240">
        <f>IF(COUNTIF(L84:AY84,"&lt;&gt;")=0,"",SUMPRODUCT(((Recommendations[ImplStatus]="Implemented")+(Recommendations[ImplStatus]="Compensated"))*ISNUMBER(MATCH(Recommendations[Id],L84:AY84,0)))/COUNTIF(L84:AY84,"&lt;&gt;"))</f>
        <v>0</v>
      </c>
      <c r="L84" s="243" t="s">
        <v>73</v>
      </c>
      <c r="M84" s="243" t="s">
        <v>336</v>
      </c>
      <c r="N84" s="243" t="s">
        <v>346</v>
      </c>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3861</v>
      </c>
      <c r="B85" s="237" t="s">
        <v>3862</v>
      </c>
      <c r="C85" s="237" t="s">
        <v>3863</v>
      </c>
      <c r="D85" s="237" t="s">
        <v>3864</v>
      </c>
      <c r="E85" s="237" t="s">
        <v>21</v>
      </c>
      <c r="F85" s="237" t="s">
        <v>21</v>
      </c>
      <c r="G85" s="237" t="s">
        <v>21</v>
      </c>
      <c r="H85" s="237" t="s">
        <v>3865</v>
      </c>
      <c r="I85" s="237" t="s">
        <v>3866</v>
      </c>
      <c r="J85" s="237" t="s">
        <v>3867</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3868</v>
      </c>
      <c r="B86" s="237" t="s">
        <v>3869</v>
      </c>
      <c r="C86" s="237" t="s">
        <v>3870</v>
      </c>
      <c r="D86" s="237" t="s">
        <v>3871</v>
      </c>
      <c r="E86" s="237" t="s">
        <v>21</v>
      </c>
      <c r="F86" s="237" t="s">
        <v>21</v>
      </c>
      <c r="G86" s="237" t="s">
        <v>3872</v>
      </c>
      <c r="H86" s="237" t="s">
        <v>3873</v>
      </c>
      <c r="I86" s="237" t="s">
        <v>21</v>
      </c>
      <c r="J86" s="237" t="s">
        <v>3874</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3875</v>
      </c>
      <c r="B87" s="237" t="s">
        <v>3876</v>
      </c>
      <c r="C87" s="237" t="s">
        <v>3877</v>
      </c>
      <c r="D87" s="237" t="s">
        <v>3878</v>
      </c>
      <c r="E87" s="237" t="s">
        <v>21</v>
      </c>
      <c r="F87" s="237" t="s">
        <v>3879</v>
      </c>
      <c r="G87" s="237" t="s">
        <v>21</v>
      </c>
      <c r="H87" s="237" t="s">
        <v>3880</v>
      </c>
      <c r="I87" s="237" t="s">
        <v>3881</v>
      </c>
      <c r="J87" s="237" t="s">
        <v>3882</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3883</v>
      </c>
      <c r="B88" s="235" t="s">
        <v>3884</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818</v>
      </c>
      <c r="B89" s="236" t="s">
        <v>3885</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3886</v>
      </c>
      <c r="B90" s="237" t="s">
        <v>3887</v>
      </c>
      <c r="C90" s="237" t="s">
        <v>3888</v>
      </c>
      <c r="D90" s="237" t="s">
        <v>3638</v>
      </c>
      <c r="E90" s="237" t="s">
        <v>3424</v>
      </c>
      <c r="F90" s="237" t="s">
        <v>21</v>
      </c>
      <c r="G90" s="237" t="s">
        <v>21</v>
      </c>
      <c r="H90" s="237" t="s">
        <v>3889</v>
      </c>
      <c r="I90" s="237" t="s">
        <v>21</v>
      </c>
      <c r="J90" s="237" t="s">
        <v>3890</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3891</v>
      </c>
      <c r="B91" s="237" t="s">
        <v>3892</v>
      </c>
      <c r="C91" s="237" t="s">
        <v>3893</v>
      </c>
      <c r="D91" s="237" t="s">
        <v>3430</v>
      </c>
      <c r="E91" s="237" t="s">
        <v>21</v>
      </c>
      <c r="F91" s="237" t="s">
        <v>3432</v>
      </c>
      <c r="G91" s="237" t="s">
        <v>21</v>
      </c>
      <c r="H91" s="237" t="s">
        <v>3894</v>
      </c>
      <c r="I91" s="237" t="s">
        <v>21</v>
      </c>
      <c r="J91" s="237" t="s">
        <v>3895</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822</v>
      </c>
      <c r="B92" s="236" t="s">
        <v>3896</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3897</v>
      </c>
      <c r="B93" s="237" t="s">
        <v>3898</v>
      </c>
      <c r="C93" s="237" t="s">
        <v>3899</v>
      </c>
      <c r="D93" s="237" t="s">
        <v>3900</v>
      </c>
      <c r="E93" s="237" t="s">
        <v>3901</v>
      </c>
      <c r="F93" s="237" t="s">
        <v>21</v>
      </c>
      <c r="G93" s="237" t="s">
        <v>21</v>
      </c>
      <c r="H93" s="237" t="s">
        <v>3902</v>
      </c>
      <c r="I93" s="237" t="s">
        <v>21</v>
      </c>
      <c r="J93" s="237" t="s">
        <v>3903</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3904</v>
      </c>
      <c r="B94" s="237" t="s">
        <v>3905</v>
      </c>
      <c r="C94" s="237" t="s">
        <v>3906</v>
      </c>
      <c r="D94" s="237" t="s">
        <v>3907</v>
      </c>
      <c r="E94" s="237" t="s">
        <v>21</v>
      </c>
      <c r="F94" s="237" t="s">
        <v>3908</v>
      </c>
      <c r="G94" s="237" t="s">
        <v>21</v>
      </c>
      <c r="H94" s="237" t="s">
        <v>3909</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3910</v>
      </c>
      <c r="B95" s="237" t="s">
        <v>3911</v>
      </c>
      <c r="C95" s="237" t="s">
        <v>3912</v>
      </c>
      <c r="D95" s="237" t="s">
        <v>3913</v>
      </c>
      <c r="E95" s="237" t="s">
        <v>21</v>
      </c>
      <c r="F95" s="237" t="s">
        <v>21</v>
      </c>
      <c r="G95" s="237" t="s">
        <v>21</v>
      </c>
      <c r="H95" s="237" t="s">
        <v>3914</v>
      </c>
      <c r="I95" s="237" t="s">
        <v>3915</v>
      </c>
      <c r="J95" s="237" t="s">
        <v>3916</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3917</v>
      </c>
      <c r="B96" s="237" t="s">
        <v>3918</v>
      </c>
      <c r="C96" s="237" t="s">
        <v>3919</v>
      </c>
      <c r="D96" s="237" t="s">
        <v>21</v>
      </c>
      <c r="E96" s="237" t="s">
        <v>21</v>
      </c>
      <c r="F96" s="237" t="s">
        <v>21</v>
      </c>
      <c r="G96" s="237" t="s">
        <v>21</v>
      </c>
      <c r="H96" s="237" t="s">
        <v>3920</v>
      </c>
      <c r="I96" s="237" t="s">
        <v>3866</v>
      </c>
      <c r="J96" s="237" t="s">
        <v>3921</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826</v>
      </c>
      <c r="B97" s="236" t="s">
        <v>3922</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3923</v>
      </c>
      <c r="B98" s="237" t="s">
        <v>3924</v>
      </c>
      <c r="C98" s="237" t="s">
        <v>3925</v>
      </c>
      <c r="D98" s="237" t="s">
        <v>3926</v>
      </c>
      <c r="E98" s="237" t="s">
        <v>21</v>
      </c>
      <c r="F98" s="237" t="s">
        <v>21</v>
      </c>
      <c r="G98" s="237" t="s">
        <v>21</v>
      </c>
      <c r="H98" s="237" t="s">
        <v>3927</v>
      </c>
      <c r="I98" s="237" t="s">
        <v>21</v>
      </c>
      <c r="J98" s="237" t="s">
        <v>3928</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3929</v>
      </c>
      <c r="B99" s="237" t="s">
        <v>3930</v>
      </c>
      <c r="C99" s="237" t="s">
        <v>3931</v>
      </c>
      <c r="D99" s="237" t="s">
        <v>3932</v>
      </c>
      <c r="E99" s="237" t="s">
        <v>3933</v>
      </c>
      <c r="F99" s="237" t="s">
        <v>21</v>
      </c>
      <c r="G99" s="237" t="s">
        <v>21</v>
      </c>
      <c r="H99" s="237" t="s">
        <v>3934</v>
      </c>
      <c r="I99" s="237" t="s">
        <v>21</v>
      </c>
      <c r="J99" s="237" t="s">
        <v>3935</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3936</v>
      </c>
      <c r="B100" s="237" t="s">
        <v>3937</v>
      </c>
      <c r="C100" s="237" t="s">
        <v>3938</v>
      </c>
      <c r="D100" s="237" t="s">
        <v>21</v>
      </c>
      <c r="E100" s="237" t="s">
        <v>21</v>
      </c>
      <c r="F100" s="237" t="s">
        <v>21</v>
      </c>
      <c r="G100" s="237" t="s">
        <v>21</v>
      </c>
      <c r="H100" s="237" t="s">
        <v>3939</v>
      </c>
      <c r="I100" s="237" t="s">
        <v>3940</v>
      </c>
      <c r="J100" s="237" t="s">
        <v>3941</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3942</v>
      </c>
      <c r="B101" s="237" t="s">
        <v>3943</v>
      </c>
      <c r="C101" s="237" t="s">
        <v>3944</v>
      </c>
      <c r="D101" s="237" t="s">
        <v>21</v>
      </c>
      <c r="E101" s="237" t="s">
        <v>21</v>
      </c>
      <c r="F101" s="237" t="s">
        <v>21</v>
      </c>
      <c r="G101" s="237" t="s">
        <v>21</v>
      </c>
      <c r="H101" s="237" t="s">
        <v>3945</v>
      </c>
      <c r="I101" s="237" t="s">
        <v>3866</v>
      </c>
      <c r="J101" s="237" t="s">
        <v>3946</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3947</v>
      </c>
      <c r="B102" s="237" t="s">
        <v>3948</v>
      </c>
      <c r="C102" s="237" t="s">
        <v>3949</v>
      </c>
      <c r="D102" s="237" t="s">
        <v>3950</v>
      </c>
      <c r="E102" s="237" t="s">
        <v>21</v>
      </c>
      <c r="F102" s="237" t="s">
        <v>21</v>
      </c>
      <c r="G102" s="237" t="s">
        <v>21</v>
      </c>
      <c r="H102" s="237" t="s">
        <v>3951</v>
      </c>
      <c r="I102" s="237" t="s">
        <v>21</v>
      </c>
      <c r="J102" s="237" t="s">
        <v>3952</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3953</v>
      </c>
      <c r="B103" s="237" t="s">
        <v>3954</v>
      </c>
      <c r="C103" s="237" t="s">
        <v>3955</v>
      </c>
      <c r="D103" s="237" t="s">
        <v>3950</v>
      </c>
      <c r="E103" s="237" t="s">
        <v>21</v>
      </c>
      <c r="F103" s="237" t="s">
        <v>3956</v>
      </c>
      <c r="G103" s="237" t="s">
        <v>21</v>
      </c>
      <c r="H103" s="237" t="s">
        <v>3957</v>
      </c>
      <c r="I103" s="237" t="s">
        <v>3958</v>
      </c>
      <c r="J103" s="237" t="s">
        <v>3959</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830</v>
      </c>
      <c r="B104" s="236" t="s">
        <v>3960</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3961</v>
      </c>
      <c r="B105" s="237" t="s">
        <v>3962</v>
      </c>
      <c r="C105" s="237" t="s">
        <v>3963</v>
      </c>
      <c r="D105" s="237" t="s">
        <v>3964</v>
      </c>
      <c r="E105" s="237" t="s">
        <v>3965</v>
      </c>
      <c r="F105" s="237" t="s">
        <v>21</v>
      </c>
      <c r="G105" s="237" t="s">
        <v>21</v>
      </c>
      <c r="H105" s="237" t="s">
        <v>3966</v>
      </c>
      <c r="I105" s="237" t="s">
        <v>3967</v>
      </c>
      <c r="J105" s="237" t="s">
        <v>3968</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3969</v>
      </c>
      <c r="B106" s="235" t="s">
        <v>3970</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844</v>
      </c>
      <c r="B107" s="236" t="s">
        <v>3971</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3972</v>
      </c>
      <c r="B108" s="237" t="s">
        <v>3973</v>
      </c>
      <c r="C108" s="237" t="s">
        <v>3974</v>
      </c>
      <c r="D108" s="237" t="s">
        <v>3638</v>
      </c>
      <c r="E108" s="237" t="s">
        <v>3424</v>
      </c>
      <c r="F108" s="237" t="s">
        <v>21</v>
      </c>
      <c r="G108" s="237" t="s">
        <v>21</v>
      </c>
      <c r="H108" s="237" t="s">
        <v>3975</v>
      </c>
      <c r="I108" s="237" t="s">
        <v>21</v>
      </c>
      <c r="J108" s="237" t="s">
        <v>3976</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3977</v>
      </c>
      <c r="B109" s="237" t="s">
        <v>3978</v>
      </c>
      <c r="C109" s="237" t="s">
        <v>3979</v>
      </c>
      <c r="D109" s="237" t="s">
        <v>3430</v>
      </c>
      <c r="E109" s="237" t="s">
        <v>21</v>
      </c>
      <c r="F109" s="237" t="s">
        <v>3432</v>
      </c>
      <c r="G109" s="237" t="s">
        <v>21</v>
      </c>
      <c r="H109" s="237" t="s">
        <v>3980</v>
      </c>
      <c r="I109" s="237" t="s">
        <v>21</v>
      </c>
      <c r="J109" s="237" t="s">
        <v>3981</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848</v>
      </c>
      <c r="B110" s="236" t="s">
        <v>3982</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3983</v>
      </c>
      <c r="B111" s="237" t="s">
        <v>3984</v>
      </c>
      <c r="C111" s="237" t="s">
        <v>3985</v>
      </c>
      <c r="D111" s="237" t="s">
        <v>3986</v>
      </c>
      <c r="E111" s="237" t="s">
        <v>21</v>
      </c>
      <c r="F111" s="237" t="s">
        <v>3987</v>
      </c>
      <c r="G111" s="237" t="s">
        <v>21</v>
      </c>
      <c r="H111" s="237" t="s">
        <v>3988</v>
      </c>
      <c r="I111" s="237" t="s">
        <v>3989</v>
      </c>
      <c r="J111" s="237" t="s">
        <v>3990</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3991</v>
      </c>
      <c r="B112" s="237" t="s">
        <v>3992</v>
      </c>
      <c r="C112" s="237" t="s">
        <v>3993</v>
      </c>
      <c r="D112" s="237" t="s">
        <v>3994</v>
      </c>
      <c r="E112" s="237" t="s">
        <v>21</v>
      </c>
      <c r="F112" s="237" t="s">
        <v>21</v>
      </c>
      <c r="G112" s="237" t="s">
        <v>21</v>
      </c>
      <c r="H112" s="237" t="s">
        <v>3995</v>
      </c>
      <c r="I112" s="237" t="s">
        <v>21</v>
      </c>
      <c r="J112" s="237" t="s">
        <v>3996</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3997</v>
      </c>
      <c r="B113" s="237" t="s">
        <v>3998</v>
      </c>
      <c r="C113" s="237" t="s">
        <v>3999</v>
      </c>
      <c r="D113" s="237" t="s">
        <v>4000</v>
      </c>
      <c r="E113" s="237" t="s">
        <v>21</v>
      </c>
      <c r="F113" s="237" t="s">
        <v>21</v>
      </c>
      <c r="G113" s="237" t="s">
        <v>21</v>
      </c>
      <c r="H113" s="237" t="s">
        <v>4001</v>
      </c>
      <c r="I113" s="237" t="s">
        <v>4002</v>
      </c>
      <c r="J113" s="237" t="s">
        <v>4003</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4004</v>
      </c>
      <c r="B114" s="237" t="s">
        <v>4005</v>
      </c>
      <c r="C114" s="237" t="s">
        <v>4006</v>
      </c>
      <c r="D114" s="237" t="s">
        <v>4007</v>
      </c>
      <c r="E114" s="237" t="s">
        <v>21</v>
      </c>
      <c r="F114" s="237" t="s">
        <v>21</v>
      </c>
      <c r="G114" s="237" t="s">
        <v>4008</v>
      </c>
      <c r="H114" s="237" t="s">
        <v>4009</v>
      </c>
      <c r="I114" s="237" t="s">
        <v>4010</v>
      </c>
      <c r="J114" s="237" t="s">
        <v>4011</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4012</v>
      </c>
      <c r="B115" s="237" t="s">
        <v>4013</v>
      </c>
      <c r="C115" s="237" t="s">
        <v>4014</v>
      </c>
      <c r="D115" s="237" t="s">
        <v>4015</v>
      </c>
      <c r="E115" s="237" t="s">
        <v>21</v>
      </c>
      <c r="F115" s="237" t="s">
        <v>4016</v>
      </c>
      <c r="G115" s="237" t="s">
        <v>21</v>
      </c>
      <c r="H115" s="237" t="s">
        <v>4017</v>
      </c>
      <c r="I115" s="237" t="s">
        <v>4017</v>
      </c>
      <c r="J115" s="237" t="s">
        <v>4018</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852</v>
      </c>
      <c r="B116" s="236" t="s">
        <v>4019</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4020</v>
      </c>
      <c r="B117" s="237" t="s">
        <v>4021</v>
      </c>
      <c r="C117" s="237" t="s">
        <v>4022</v>
      </c>
      <c r="D117" s="237" t="s">
        <v>4023</v>
      </c>
      <c r="E117" s="237" t="s">
        <v>21</v>
      </c>
      <c r="F117" s="237" t="s">
        <v>4024</v>
      </c>
      <c r="G117" s="237" t="s">
        <v>4025</v>
      </c>
      <c r="H117" s="237" t="s">
        <v>4026</v>
      </c>
      <c r="I117" s="237" t="s">
        <v>4027</v>
      </c>
      <c r="J117" s="237" t="s">
        <v>4028</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4029</v>
      </c>
      <c r="B118" s="237" t="s">
        <v>4030</v>
      </c>
      <c r="C118" s="237" t="s">
        <v>4031</v>
      </c>
      <c r="D118" s="237" t="s">
        <v>4032</v>
      </c>
      <c r="E118" s="237" t="s">
        <v>21</v>
      </c>
      <c r="F118" s="237" t="s">
        <v>21</v>
      </c>
      <c r="G118" s="237" t="s">
        <v>21</v>
      </c>
      <c r="H118" s="237" t="s">
        <v>4033</v>
      </c>
      <c r="I118" s="237" t="s">
        <v>3866</v>
      </c>
      <c r="J118" s="237" t="s">
        <v>4034</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4035</v>
      </c>
      <c r="B119" s="237" t="s">
        <v>4036</v>
      </c>
      <c r="C119" s="237" t="s">
        <v>4037</v>
      </c>
      <c r="D119" s="237" t="s">
        <v>4038</v>
      </c>
      <c r="E119" s="237" t="s">
        <v>21</v>
      </c>
      <c r="F119" s="237" t="s">
        <v>4039</v>
      </c>
      <c r="G119" s="237" t="s">
        <v>21</v>
      </c>
      <c r="H119" s="237" t="s">
        <v>4040</v>
      </c>
      <c r="I119" s="237" t="s">
        <v>4041</v>
      </c>
      <c r="J119" s="237" t="s">
        <v>4042</v>
      </c>
      <c r="K119" s="240">
        <f>IF(COUNTIF(L119:AY119,"&lt;&gt;")=0,"",SUMPRODUCT(((Recommendations[ImplStatus]="Implemented")+(Recommendations[ImplStatus]="Compensated"))*ISNUMBER(MATCH(Recommendations[Id],L119:AY119,0)))/COUNTIF(L119:AY119,"&lt;&gt;"))</f>
        <v>0</v>
      </c>
      <c r="L119" s="243" t="s">
        <v>316</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856</v>
      </c>
      <c r="B120" s="236" t="s">
        <v>4043</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4044</v>
      </c>
      <c r="B121" s="237" t="s">
        <v>4045</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4046</v>
      </c>
      <c r="B122" s="237" t="s">
        <v>4047</v>
      </c>
      <c r="C122" s="237" t="s">
        <v>4048</v>
      </c>
      <c r="D122" s="237" t="s">
        <v>4049</v>
      </c>
      <c r="E122" s="237" t="s">
        <v>21</v>
      </c>
      <c r="F122" s="237" t="s">
        <v>4050</v>
      </c>
      <c r="G122" s="237" t="s">
        <v>21</v>
      </c>
      <c r="H122" s="237" t="s">
        <v>4051</v>
      </c>
      <c r="I122" s="237" t="s">
        <v>4052</v>
      </c>
      <c r="J122" s="237" t="s">
        <v>4053</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4054</v>
      </c>
      <c r="B123" s="237" t="s">
        <v>4055</v>
      </c>
      <c r="C123" s="237" t="s">
        <v>4056</v>
      </c>
      <c r="D123" s="237" t="s">
        <v>4057</v>
      </c>
      <c r="E123" s="237" t="s">
        <v>21</v>
      </c>
      <c r="F123" s="237" t="s">
        <v>4058</v>
      </c>
      <c r="G123" s="237" t="s">
        <v>21</v>
      </c>
      <c r="H123" s="237" t="s">
        <v>4059</v>
      </c>
      <c r="I123" s="237" t="s">
        <v>21</v>
      </c>
      <c r="J123" s="237" t="s">
        <v>4060</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860</v>
      </c>
      <c r="B124" s="236" t="s">
        <v>4061</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4062</v>
      </c>
      <c r="B125" s="237" t="s">
        <v>4063</v>
      </c>
      <c r="C125" s="237" t="s">
        <v>4064</v>
      </c>
      <c r="D125" s="237" t="s">
        <v>4065</v>
      </c>
      <c r="E125" s="237" t="s">
        <v>21</v>
      </c>
      <c r="F125" s="237" t="s">
        <v>21</v>
      </c>
      <c r="G125" s="237" t="s">
        <v>21</v>
      </c>
      <c r="H125" s="237" t="s">
        <v>4066</v>
      </c>
      <c r="I125" s="237" t="s">
        <v>21</v>
      </c>
      <c r="J125" s="237" t="s">
        <v>4067</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4068</v>
      </c>
      <c r="B126" s="237" t="s">
        <v>4069</v>
      </c>
      <c r="C126" s="237" t="s">
        <v>4070</v>
      </c>
      <c r="D126" s="237" t="s">
        <v>4071</v>
      </c>
      <c r="E126" s="237" t="s">
        <v>21</v>
      </c>
      <c r="F126" s="237" t="s">
        <v>4072</v>
      </c>
      <c r="G126" s="237" t="s">
        <v>21</v>
      </c>
      <c r="H126" s="237" t="s">
        <v>4073</v>
      </c>
      <c r="I126" s="237" t="s">
        <v>4074</v>
      </c>
      <c r="J126" s="237" t="s">
        <v>4075</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4076</v>
      </c>
      <c r="B127" s="237" t="s">
        <v>4077</v>
      </c>
      <c r="C127" s="237" t="s">
        <v>4078</v>
      </c>
      <c r="D127" s="237" t="s">
        <v>4079</v>
      </c>
      <c r="E127" s="237" t="s">
        <v>4080</v>
      </c>
      <c r="F127" s="237" t="s">
        <v>21</v>
      </c>
      <c r="G127" s="237" t="s">
        <v>21</v>
      </c>
      <c r="H127" s="237" t="s">
        <v>4081</v>
      </c>
      <c r="I127" s="237" t="s">
        <v>21</v>
      </c>
      <c r="J127" s="237" t="s">
        <v>4082</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4083</v>
      </c>
      <c r="B128" s="237" t="s">
        <v>4084</v>
      </c>
      <c r="C128" s="237" t="s">
        <v>4085</v>
      </c>
      <c r="D128" s="237" t="s">
        <v>21</v>
      </c>
      <c r="E128" s="237" t="s">
        <v>21</v>
      </c>
      <c r="F128" s="237" t="s">
        <v>21</v>
      </c>
      <c r="G128" s="237" t="s">
        <v>21</v>
      </c>
      <c r="H128" s="237" t="s">
        <v>4086</v>
      </c>
      <c r="I128" s="237" t="s">
        <v>4087</v>
      </c>
      <c r="J128" s="237" t="s">
        <v>4088</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4089</v>
      </c>
      <c r="B129" s="237" t="s">
        <v>4090</v>
      </c>
      <c r="C129" s="237" t="s">
        <v>4091</v>
      </c>
      <c r="D129" s="237" t="s">
        <v>21</v>
      </c>
      <c r="E129" s="237" t="s">
        <v>4092</v>
      </c>
      <c r="F129" s="237" t="s">
        <v>21</v>
      </c>
      <c r="G129" s="237" t="s">
        <v>21</v>
      </c>
      <c r="H129" s="237" t="s">
        <v>4093</v>
      </c>
      <c r="I129" s="237" t="s">
        <v>21</v>
      </c>
      <c r="J129" s="237" t="s">
        <v>4094</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4095</v>
      </c>
      <c r="B130" s="237" t="s">
        <v>4096</v>
      </c>
      <c r="C130" s="237" t="s">
        <v>4097</v>
      </c>
      <c r="D130" s="237" t="s">
        <v>21</v>
      </c>
      <c r="E130" s="237" t="s">
        <v>21</v>
      </c>
      <c r="F130" s="237" t="s">
        <v>21</v>
      </c>
      <c r="G130" s="237" t="s">
        <v>21</v>
      </c>
      <c r="H130" s="237" t="s">
        <v>4098</v>
      </c>
      <c r="I130" s="237" t="s">
        <v>21</v>
      </c>
      <c r="J130" s="237" t="s">
        <v>4099</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4100</v>
      </c>
      <c r="B131" s="235" t="s">
        <v>4101</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878</v>
      </c>
      <c r="B132" s="236" t="s">
        <v>4102</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4103</v>
      </c>
      <c r="B133" s="237" t="s">
        <v>4104</v>
      </c>
      <c r="C133" s="237" t="s">
        <v>4105</v>
      </c>
      <c r="D133" s="237" t="s">
        <v>3638</v>
      </c>
      <c r="E133" s="237" t="s">
        <v>3424</v>
      </c>
      <c r="F133" s="237" t="s">
        <v>21</v>
      </c>
      <c r="G133" s="237" t="s">
        <v>21</v>
      </c>
      <c r="H133" s="237" t="s">
        <v>4106</v>
      </c>
      <c r="I133" s="237" t="s">
        <v>21</v>
      </c>
      <c r="J133" s="237" t="s">
        <v>4107</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4108</v>
      </c>
      <c r="B134" s="237" t="s">
        <v>4109</v>
      </c>
      <c r="C134" s="237" t="s">
        <v>3643</v>
      </c>
      <c r="D134" s="237" t="s">
        <v>3430</v>
      </c>
      <c r="E134" s="237" t="s">
        <v>21</v>
      </c>
      <c r="F134" s="237" t="s">
        <v>3432</v>
      </c>
      <c r="G134" s="237" t="s">
        <v>21</v>
      </c>
      <c r="H134" s="237" t="s">
        <v>4110</v>
      </c>
      <c r="I134" s="237" t="s">
        <v>21</v>
      </c>
      <c r="J134" s="237" t="s">
        <v>4111</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882</v>
      </c>
      <c r="B135" s="236" t="s">
        <v>4112</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4113</v>
      </c>
      <c r="B136" s="237" t="s">
        <v>4114</v>
      </c>
      <c r="C136" s="237" t="s">
        <v>4115</v>
      </c>
      <c r="D136" s="237" t="s">
        <v>4116</v>
      </c>
      <c r="E136" s="237" t="s">
        <v>4117</v>
      </c>
      <c r="F136" s="237" t="s">
        <v>4118</v>
      </c>
      <c r="G136" s="237" t="s">
        <v>21</v>
      </c>
      <c r="H136" s="237" t="s">
        <v>4119</v>
      </c>
      <c r="I136" s="237" t="s">
        <v>21</v>
      </c>
      <c r="J136" s="237" t="s">
        <v>4120</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4121</v>
      </c>
      <c r="B137" s="237" t="s">
        <v>4122</v>
      </c>
      <c r="C137" s="237" t="s">
        <v>4123</v>
      </c>
      <c r="D137" s="237" t="s">
        <v>4124</v>
      </c>
      <c r="E137" s="237" t="s">
        <v>21</v>
      </c>
      <c r="F137" s="237" t="s">
        <v>21</v>
      </c>
      <c r="G137" s="237" t="s">
        <v>21</v>
      </c>
      <c r="H137" s="237" t="s">
        <v>4125</v>
      </c>
      <c r="I137" s="237" t="s">
        <v>21</v>
      </c>
      <c r="J137" s="237" t="s">
        <v>4126</v>
      </c>
      <c r="K137" s="240">
        <f>IF(COUNTIF(L137:AY137,"&lt;&gt;")=0,"",SUMPRODUCT(((Recommendations[ImplStatus]="Implemented")+(Recommendations[ImplStatus]="Compensated"))*ISNUMBER(MATCH(Recommendations[Id],L137:AY137,0)))/COUNTIF(L137:AY137,"&lt;&gt;"))</f>
        <v>0</v>
      </c>
      <c r="L137" s="243" t="s">
        <v>241</v>
      </c>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4127</v>
      </c>
      <c r="B138" s="237" t="s">
        <v>4128</v>
      </c>
      <c r="C138" s="237" t="s">
        <v>4129</v>
      </c>
      <c r="D138" s="237" t="s">
        <v>21</v>
      </c>
      <c r="E138" s="237" t="s">
        <v>21</v>
      </c>
      <c r="F138" s="237" t="s">
        <v>21</v>
      </c>
      <c r="G138" s="237" t="s">
        <v>21</v>
      </c>
      <c r="H138" s="237" t="s">
        <v>4130</v>
      </c>
      <c r="I138" s="237" t="s">
        <v>21</v>
      </c>
      <c r="J138" s="237" t="s">
        <v>4131</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4132</v>
      </c>
      <c r="B139" s="237" t="s">
        <v>4133</v>
      </c>
      <c r="C139" s="237" t="s">
        <v>4134</v>
      </c>
      <c r="D139" s="237" t="s">
        <v>4135</v>
      </c>
      <c r="E139" s="237" t="s">
        <v>21</v>
      </c>
      <c r="F139" s="237" t="s">
        <v>21</v>
      </c>
      <c r="G139" s="237" t="s">
        <v>21</v>
      </c>
      <c r="H139" s="237" t="s">
        <v>4136</v>
      </c>
      <c r="I139" s="237" t="s">
        <v>4137</v>
      </c>
      <c r="J139" s="237" t="s">
        <v>4138</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4139</v>
      </c>
      <c r="B140" s="237" t="s">
        <v>4140</v>
      </c>
      <c r="C140" s="237" t="s">
        <v>4141</v>
      </c>
      <c r="D140" s="237" t="s">
        <v>4142</v>
      </c>
      <c r="E140" s="237" t="s">
        <v>21</v>
      </c>
      <c r="F140" s="237" t="s">
        <v>21</v>
      </c>
      <c r="G140" s="237" t="s">
        <v>21</v>
      </c>
      <c r="H140" s="237" t="s">
        <v>4143</v>
      </c>
      <c r="I140" s="237" t="s">
        <v>3866</v>
      </c>
      <c r="J140" s="237" t="s">
        <v>4144</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4145</v>
      </c>
      <c r="B141" s="237" t="s">
        <v>4146</v>
      </c>
      <c r="C141" s="237" t="s">
        <v>4147</v>
      </c>
      <c r="D141" s="237" t="s">
        <v>21</v>
      </c>
      <c r="E141" s="237" t="s">
        <v>4148</v>
      </c>
      <c r="F141" s="237" t="s">
        <v>21</v>
      </c>
      <c r="G141" s="237" t="s">
        <v>21</v>
      </c>
      <c r="H141" s="237" t="s">
        <v>4149</v>
      </c>
      <c r="I141" s="237" t="s">
        <v>3866</v>
      </c>
      <c r="J141" s="237" t="s">
        <v>4150</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4151</v>
      </c>
      <c r="B142" s="237" t="s">
        <v>4152</v>
      </c>
      <c r="C142" s="237" t="s">
        <v>4153</v>
      </c>
      <c r="D142" s="237" t="s">
        <v>4154</v>
      </c>
      <c r="E142" s="237" t="s">
        <v>4148</v>
      </c>
      <c r="F142" s="237" t="s">
        <v>21</v>
      </c>
      <c r="G142" s="237" t="s">
        <v>21</v>
      </c>
      <c r="H142" s="237" t="s">
        <v>4155</v>
      </c>
      <c r="I142" s="237" t="s">
        <v>4156</v>
      </c>
      <c r="J142" s="237" t="s">
        <v>4157</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886</v>
      </c>
      <c r="B143" s="236" t="s">
        <v>4158</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4159</v>
      </c>
      <c r="B144" s="237" t="s">
        <v>4160</v>
      </c>
      <c r="C144" s="237" t="s">
        <v>4161</v>
      </c>
      <c r="D144" s="237" t="s">
        <v>21</v>
      </c>
      <c r="E144" s="237" t="s">
        <v>21</v>
      </c>
      <c r="F144" s="237" t="s">
        <v>21</v>
      </c>
      <c r="G144" s="237" t="s">
        <v>21</v>
      </c>
      <c r="H144" s="237" t="s">
        <v>4162</v>
      </c>
      <c r="I144" s="237" t="s">
        <v>21</v>
      </c>
      <c r="J144" s="237" t="s">
        <v>4163</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4164</v>
      </c>
      <c r="B145" s="237" t="s">
        <v>4165</v>
      </c>
      <c r="C145" s="237" t="s">
        <v>4166</v>
      </c>
      <c r="D145" s="237" t="s">
        <v>21</v>
      </c>
      <c r="E145" s="237" t="s">
        <v>21</v>
      </c>
      <c r="F145" s="237" t="s">
        <v>21</v>
      </c>
      <c r="G145" s="237" t="s">
        <v>21</v>
      </c>
      <c r="H145" s="237" t="s">
        <v>4167</v>
      </c>
      <c r="I145" s="237" t="s">
        <v>21</v>
      </c>
      <c r="J145" s="237" t="s">
        <v>4168</v>
      </c>
      <c r="K145" s="240">
        <f>IF(COUNTIF(L145:AY145,"&lt;&gt;")=0,"",SUMPRODUCT(((Recommendations[ImplStatus]="Implemented")+(Recommendations[ImplStatus]="Compensated"))*ISNUMBER(MATCH(Recommendations[Id],L145:AY145,0)))/COUNTIF(L145:AY145,"&lt;&gt;"))</f>
        <v>0</v>
      </c>
      <c r="L145" s="243" t="s">
        <v>241</v>
      </c>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4169</v>
      </c>
      <c r="B146" s="237" t="s">
        <v>4170</v>
      </c>
      <c r="C146" s="237" t="s">
        <v>4171</v>
      </c>
      <c r="D146" s="237" t="s">
        <v>4172</v>
      </c>
      <c r="E146" s="237" t="s">
        <v>21</v>
      </c>
      <c r="F146" s="237" t="s">
        <v>21</v>
      </c>
      <c r="G146" s="237" t="s">
        <v>21</v>
      </c>
      <c r="H146" s="237" t="s">
        <v>4173</v>
      </c>
      <c r="I146" s="237" t="s">
        <v>21</v>
      </c>
      <c r="J146" s="237" t="s">
        <v>4174</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4175</v>
      </c>
      <c r="B147" s="235" t="s">
        <v>4176</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908</v>
      </c>
      <c r="B148" s="236" t="s">
        <v>4177</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4178</v>
      </c>
      <c r="B149" s="237" t="s">
        <v>4179</v>
      </c>
      <c r="C149" s="237" t="s">
        <v>4180</v>
      </c>
      <c r="D149" s="237" t="s">
        <v>3638</v>
      </c>
      <c r="E149" s="237" t="s">
        <v>3424</v>
      </c>
      <c r="F149" s="237" t="s">
        <v>21</v>
      </c>
      <c r="G149" s="237" t="s">
        <v>21</v>
      </c>
      <c r="H149" s="237" t="s">
        <v>4181</v>
      </c>
      <c r="I149" s="237" t="s">
        <v>21</v>
      </c>
      <c r="J149" s="237" t="s">
        <v>4182</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4183</v>
      </c>
      <c r="B150" s="237" t="s">
        <v>4184</v>
      </c>
      <c r="C150" s="237" t="s">
        <v>3429</v>
      </c>
      <c r="D150" s="237" t="s">
        <v>3430</v>
      </c>
      <c r="E150" s="237" t="s">
        <v>21</v>
      </c>
      <c r="F150" s="237" t="s">
        <v>3432</v>
      </c>
      <c r="G150" s="237" t="s">
        <v>21</v>
      </c>
      <c r="H150" s="237" t="s">
        <v>4185</v>
      </c>
      <c r="I150" s="237" t="s">
        <v>21</v>
      </c>
      <c r="J150" s="237" t="s">
        <v>4186</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912</v>
      </c>
      <c r="B151" s="236" t="s">
        <v>4187</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4188</v>
      </c>
      <c r="B152" s="237" t="s">
        <v>4189</v>
      </c>
      <c r="C152" s="237" t="s">
        <v>4190</v>
      </c>
      <c r="D152" s="237" t="s">
        <v>21</v>
      </c>
      <c r="E152" s="237" t="s">
        <v>21</v>
      </c>
      <c r="F152" s="237" t="s">
        <v>21</v>
      </c>
      <c r="G152" s="237" t="s">
        <v>21</v>
      </c>
      <c r="H152" s="237" t="s">
        <v>4191</v>
      </c>
      <c r="I152" s="237" t="s">
        <v>4192</v>
      </c>
      <c r="J152" s="237" t="s">
        <v>4193</v>
      </c>
      <c r="K152" s="240">
        <f>IF(COUNTIF(L152:AY152,"&lt;&gt;")=0,"",SUMPRODUCT(((Recommendations[ImplStatus]="Implemented")+(Recommendations[ImplStatus]="Compensated"))*ISNUMBER(MATCH(Recommendations[Id],L152:AY152,0)))/COUNTIF(L152:AY152,"&lt;&gt;"))</f>
        <v>0</v>
      </c>
      <c r="L152" s="243" t="s">
        <v>294</v>
      </c>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4194</v>
      </c>
      <c r="B153" s="237" t="s">
        <v>4195</v>
      </c>
      <c r="C153" s="237" t="s">
        <v>4196</v>
      </c>
      <c r="D153" s="237" t="s">
        <v>4197</v>
      </c>
      <c r="E153" s="237" t="s">
        <v>21</v>
      </c>
      <c r="F153" s="237" t="s">
        <v>4198</v>
      </c>
      <c r="G153" s="237" t="s">
        <v>21</v>
      </c>
      <c r="H153" s="237" t="s">
        <v>4199</v>
      </c>
      <c r="I153" s="237" t="s">
        <v>4200</v>
      </c>
      <c r="J153" s="237" t="s">
        <v>4201</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4202</v>
      </c>
      <c r="B154" s="237" t="s">
        <v>4203</v>
      </c>
      <c r="C154" s="237" t="s">
        <v>4204</v>
      </c>
      <c r="D154" s="237" t="s">
        <v>21</v>
      </c>
      <c r="E154" s="237" t="s">
        <v>21</v>
      </c>
      <c r="F154" s="237" t="s">
        <v>4205</v>
      </c>
      <c r="G154" s="237" t="s">
        <v>21</v>
      </c>
      <c r="H154" s="237" t="s">
        <v>4206</v>
      </c>
      <c r="I154" s="237" t="s">
        <v>21</v>
      </c>
      <c r="J154" s="237" t="s">
        <v>4207</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4208</v>
      </c>
      <c r="B155" s="237" t="s">
        <v>4209</v>
      </c>
      <c r="C155" s="237" t="s">
        <v>4210</v>
      </c>
      <c r="D155" s="237" t="s">
        <v>21</v>
      </c>
      <c r="E155" s="237" t="s">
        <v>21</v>
      </c>
      <c r="F155" s="237" t="s">
        <v>21</v>
      </c>
      <c r="G155" s="237" t="s">
        <v>21</v>
      </c>
      <c r="H155" s="237" t="s">
        <v>4211</v>
      </c>
      <c r="I155" s="237" t="s">
        <v>4212</v>
      </c>
      <c r="J155" s="237" t="s">
        <v>4213</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4214</v>
      </c>
      <c r="B156" s="237" t="s">
        <v>4215</v>
      </c>
      <c r="C156" s="237" t="s">
        <v>4216</v>
      </c>
      <c r="D156" s="237" t="s">
        <v>21</v>
      </c>
      <c r="E156" s="237" t="s">
        <v>21</v>
      </c>
      <c r="F156" s="237" t="s">
        <v>21</v>
      </c>
      <c r="G156" s="237" t="s">
        <v>21</v>
      </c>
      <c r="H156" s="237" t="s">
        <v>4217</v>
      </c>
      <c r="I156" s="237" t="s">
        <v>21</v>
      </c>
      <c r="J156" s="237" t="s">
        <v>4218</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4219</v>
      </c>
      <c r="B157" s="237" t="s">
        <v>4220</v>
      </c>
      <c r="C157" s="237" t="s">
        <v>4221</v>
      </c>
      <c r="D157" s="237" t="s">
        <v>4222</v>
      </c>
      <c r="E157" s="237" t="s">
        <v>21</v>
      </c>
      <c r="F157" s="237" t="s">
        <v>21</v>
      </c>
      <c r="G157" s="237" t="s">
        <v>21</v>
      </c>
      <c r="H157" s="237" t="s">
        <v>4223</v>
      </c>
      <c r="I157" s="237" t="s">
        <v>21</v>
      </c>
      <c r="J157" s="237" t="s">
        <v>4224</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4225</v>
      </c>
      <c r="B158" s="237" t="s">
        <v>4226</v>
      </c>
      <c r="C158" s="237" t="s">
        <v>4227</v>
      </c>
      <c r="D158" s="237" t="s">
        <v>4228</v>
      </c>
      <c r="E158" s="237" t="s">
        <v>21</v>
      </c>
      <c r="F158" s="237" t="s">
        <v>21</v>
      </c>
      <c r="G158" s="237" t="s">
        <v>21</v>
      </c>
      <c r="H158" s="237" t="s">
        <v>21</v>
      </c>
      <c r="I158" s="237" t="s">
        <v>21</v>
      </c>
      <c r="J158" s="237" t="s">
        <v>4229</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4230</v>
      </c>
      <c r="B159" s="237" t="s">
        <v>4231</v>
      </c>
      <c r="C159" s="237" t="s">
        <v>4232</v>
      </c>
      <c r="D159" s="237" t="s">
        <v>4233</v>
      </c>
      <c r="E159" s="237" t="s">
        <v>21</v>
      </c>
      <c r="F159" s="237" t="s">
        <v>4234</v>
      </c>
      <c r="G159" s="237" t="s">
        <v>21</v>
      </c>
      <c r="H159" s="237" t="s">
        <v>4235</v>
      </c>
      <c r="I159" s="237" t="s">
        <v>4236</v>
      </c>
      <c r="J159" s="237" t="s">
        <v>4237</v>
      </c>
      <c r="K159" s="240">
        <f>IF(COUNTIF(L159:AY159,"&lt;&gt;")=0,"",SUMPRODUCT(((Recommendations[ImplStatus]="Implemented")+(Recommendations[ImplStatus]="Compensated"))*ISNUMBER(MATCH(Recommendations[Id],L159:AY159,0)))/COUNTIF(L159:AY159,"&lt;&gt;"))</f>
        <v>0</v>
      </c>
      <c r="L159" s="243" t="s">
        <v>257</v>
      </c>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916</v>
      </c>
      <c r="B160" s="236" t="s">
        <v>4238</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4239</v>
      </c>
      <c r="B161" s="237" t="s">
        <v>4240</v>
      </c>
      <c r="C161" s="237" t="s">
        <v>4241</v>
      </c>
      <c r="D161" s="237" t="s">
        <v>4242</v>
      </c>
      <c r="E161" s="237" t="s">
        <v>21</v>
      </c>
      <c r="F161" s="237" t="s">
        <v>21</v>
      </c>
      <c r="G161" s="237" t="s">
        <v>4243</v>
      </c>
      <c r="H161" s="237" t="s">
        <v>4244</v>
      </c>
      <c r="I161" s="237" t="s">
        <v>4245</v>
      </c>
      <c r="J161" s="237" t="s">
        <v>4246</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4247</v>
      </c>
      <c r="B162" s="237" t="s">
        <v>4248</v>
      </c>
      <c r="C162" s="237" t="s">
        <v>4249</v>
      </c>
      <c r="D162" s="237" t="s">
        <v>4250</v>
      </c>
      <c r="E162" s="237" t="s">
        <v>21</v>
      </c>
      <c r="F162" s="237" t="s">
        <v>21</v>
      </c>
      <c r="G162" s="237" t="s">
        <v>21</v>
      </c>
      <c r="H162" s="237" t="s">
        <v>4251</v>
      </c>
      <c r="I162" s="237" t="s">
        <v>21</v>
      </c>
      <c r="J162" s="237" t="s">
        <v>4252</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4253</v>
      </c>
      <c r="B163" s="237" t="s">
        <v>4254</v>
      </c>
      <c r="C163" s="237" t="s">
        <v>4255</v>
      </c>
      <c r="D163" s="237" t="s">
        <v>4250</v>
      </c>
      <c r="E163" s="237" t="s">
        <v>21</v>
      </c>
      <c r="F163" s="237" t="s">
        <v>4256</v>
      </c>
      <c r="G163" s="237" t="s">
        <v>21</v>
      </c>
      <c r="H163" s="237" t="s">
        <v>4257</v>
      </c>
      <c r="I163" s="237" t="s">
        <v>21</v>
      </c>
      <c r="J163" s="237" t="s">
        <v>4258</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4259</v>
      </c>
      <c r="B164" s="237" t="s">
        <v>4260</v>
      </c>
      <c r="C164" s="237" t="s">
        <v>4261</v>
      </c>
      <c r="D164" s="237" t="s">
        <v>4262</v>
      </c>
      <c r="E164" s="237" t="s">
        <v>21</v>
      </c>
      <c r="F164" s="237" t="s">
        <v>21</v>
      </c>
      <c r="G164" s="237" t="s">
        <v>21</v>
      </c>
      <c r="H164" s="237" t="s">
        <v>4263</v>
      </c>
      <c r="I164" s="237" t="s">
        <v>4264</v>
      </c>
      <c r="J164" s="237" t="s">
        <v>4265</v>
      </c>
      <c r="K164" s="240">
        <f>IF(COUNTIF(L164:AY164,"&lt;&gt;")=0,"",SUMPRODUCT(((Recommendations[ImplStatus]="Implemented")+(Recommendations[ImplStatus]="Compensated"))*ISNUMBER(MATCH(Recommendations[Id],L164:AY164,0)))/COUNTIF(L164:AY164,"&lt;&gt;"))</f>
        <v>0</v>
      </c>
      <c r="L164" s="243" t="s">
        <v>247</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4266</v>
      </c>
      <c r="B165" s="237" t="s">
        <v>4267</v>
      </c>
      <c r="C165" s="237" t="s">
        <v>4268</v>
      </c>
      <c r="D165" s="237" t="s">
        <v>21</v>
      </c>
      <c r="E165" s="237" t="s">
        <v>21</v>
      </c>
      <c r="F165" s="237" t="s">
        <v>21</v>
      </c>
      <c r="G165" s="237" t="s">
        <v>21</v>
      </c>
      <c r="H165" s="237" t="s">
        <v>4269</v>
      </c>
      <c r="I165" s="237" t="s">
        <v>21</v>
      </c>
      <c r="J165" s="237" t="s">
        <v>4270</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4271</v>
      </c>
      <c r="B166" s="237" t="s">
        <v>4272</v>
      </c>
      <c r="C166" s="237" t="s">
        <v>4273</v>
      </c>
      <c r="D166" s="237" t="s">
        <v>4274</v>
      </c>
      <c r="E166" s="237" t="s">
        <v>21</v>
      </c>
      <c r="F166" s="237" t="s">
        <v>21</v>
      </c>
      <c r="G166" s="237" t="s">
        <v>21</v>
      </c>
      <c r="H166" s="237" t="s">
        <v>4275</v>
      </c>
      <c r="I166" s="237" t="s">
        <v>4276</v>
      </c>
      <c r="J166" s="237" t="s">
        <v>4277</v>
      </c>
      <c r="K166" s="240">
        <f>IF(COUNTIF(L166:AY166,"&lt;&gt;")=0,"",SUMPRODUCT(((Recommendations[ImplStatus]="Implemented")+(Recommendations[ImplStatus]="Compensated"))*ISNUMBER(MATCH(Recommendations[Id],L166:AY166,0)))/COUNTIF(L166:AY166,"&lt;&gt;"))</f>
        <v>0</v>
      </c>
      <c r="L166" s="243" t="s">
        <v>252</v>
      </c>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4278</v>
      </c>
      <c r="B167" s="237" t="s">
        <v>4279</v>
      </c>
      <c r="C167" s="237" t="s">
        <v>4280</v>
      </c>
      <c r="D167" s="237" t="s">
        <v>21</v>
      </c>
      <c r="E167" s="237" t="s">
        <v>21</v>
      </c>
      <c r="F167" s="237" t="s">
        <v>21</v>
      </c>
      <c r="G167" s="237" t="s">
        <v>21</v>
      </c>
      <c r="H167" s="237" t="s">
        <v>4281</v>
      </c>
      <c r="I167" s="237" t="s">
        <v>4282</v>
      </c>
      <c r="J167" s="237" t="s">
        <v>4283</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4284</v>
      </c>
      <c r="B168" s="237" t="s">
        <v>4285</v>
      </c>
      <c r="C168" s="237" t="s">
        <v>4286</v>
      </c>
      <c r="D168" s="237" t="s">
        <v>4287</v>
      </c>
      <c r="E168" s="237" t="s">
        <v>21</v>
      </c>
      <c r="F168" s="237" t="s">
        <v>21</v>
      </c>
      <c r="G168" s="237" t="s">
        <v>21</v>
      </c>
      <c r="H168" s="237" t="s">
        <v>4288</v>
      </c>
      <c r="I168" s="237" t="s">
        <v>21</v>
      </c>
      <c r="J168" s="237" t="s">
        <v>4289</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4290</v>
      </c>
      <c r="B169" s="237" t="s">
        <v>4291</v>
      </c>
      <c r="C169" s="237" t="s">
        <v>4292</v>
      </c>
      <c r="D169" s="237" t="s">
        <v>4293</v>
      </c>
      <c r="E169" s="237" t="s">
        <v>21</v>
      </c>
      <c r="F169" s="237" t="s">
        <v>21</v>
      </c>
      <c r="G169" s="237" t="s">
        <v>4294</v>
      </c>
      <c r="H169" s="237" t="s">
        <v>4295</v>
      </c>
      <c r="I169" s="237" t="s">
        <v>4296</v>
      </c>
      <c r="J169" s="237" t="s">
        <v>4297</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4298</v>
      </c>
      <c r="B170" s="237" t="s">
        <v>4299</v>
      </c>
      <c r="C170" s="237" t="s">
        <v>4300</v>
      </c>
      <c r="D170" s="237" t="s">
        <v>4301</v>
      </c>
      <c r="E170" s="237" t="s">
        <v>21</v>
      </c>
      <c r="F170" s="237" t="s">
        <v>21</v>
      </c>
      <c r="G170" s="237" t="s">
        <v>21</v>
      </c>
      <c r="H170" s="237" t="s">
        <v>4302</v>
      </c>
      <c r="I170" s="237" t="s">
        <v>4303</v>
      </c>
      <c r="J170" s="237" t="s">
        <v>4304</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4305</v>
      </c>
      <c r="B171" s="237" t="s">
        <v>4306</v>
      </c>
      <c r="C171" s="237" t="s">
        <v>4300</v>
      </c>
      <c r="D171" s="237" t="s">
        <v>4307</v>
      </c>
      <c r="E171" s="237" t="s">
        <v>21</v>
      </c>
      <c r="F171" s="237" t="s">
        <v>21</v>
      </c>
      <c r="G171" s="237" t="s">
        <v>4308</v>
      </c>
      <c r="H171" s="237" t="s">
        <v>4302</v>
      </c>
      <c r="I171" s="237" t="s">
        <v>4309</v>
      </c>
      <c r="J171" s="237" t="s">
        <v>4310</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4311</v>
      </c>
      <c r="B172" s="237" t="s">
        <v>4312</v>
      </c>
      <c r="C172" s="237" t="s">
        <v>4313</v>
      </c>
      <c r="D172" s="237" t="s">
        <v>4314</v>
      </c>
      <c r="E172" s="237" t="s">
        <v>21</v>
      </c>
      <c r="F172" s="237" t="s">
        <v>21</v>
      </c>
      <c r="G172" s="237" t="s">
        <v>21</v>
      </c>
      <c r="H172" s="237" t="s">
        <v>4315</v>
      </c>
      <c r="I172" s="237" t="s">
        <v>21</v>
      </c>
      <c r="J172" s="237" t="s">
        <v>4316</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920</v>
      </c>
      <c r="B173" s="236" t="s">
        <v>4317</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4318</v>
      </c>
      <c r="B174" s="237" t="s">
        <v>4319</v>
      </c>
      <c r="C174" s="237" t="s">
        <v>4320</v>
      </c>
      <c r="D174" s="237" t="s">
        <v>4321</v>
      </c>
      <c r="E174" s="237" t="s">
        <v>4322</v>
      </c>
      <c r="F174" s="237" t="s">
        <v>21</v>
      </c>
      <c r="G174" s="237" t="s">
        <v>21</v>
      </c>
      <c r="H174" s="237" t="s">
        <v>4323</v>
      </c>
      <c r="I174" s="237" t="s">
        <v>4324</v>
      </c>
      <c r="J174" s="237" t="s">
        <v>4325</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4326</v>
      </c>
      <c r="B175" s="237" t="s">
        <v>4327</v>
      </c>
      <c r="C175" s="237" t="s">
        <v>4328</v>
      </c>
      <c r="D175" s="237" t="s">
        <v>21</v>
      </c>
      <c r="E175" s="237" t="s">
        <v>4329</v>
      </c>
      <c r="F175" s="237" t="s">
        <v>21</v>
      </c>
      <c r="G175" s="237" t="s">
        <v>21</v>
      </c>
      <c r="H175" s="237" t="s">
        <v>4330</v>
      </c>
      <c r="I175" s="237" t="s">
        <v>21</v>
      </c>
      <c r="J175" s="237" t="s">
        <v>4331</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4332</v>
      </c>
      <c r="B176" s="237" t="s">
        <v>4333</v>
      </c>
      <c r="C176" s="237" t="s">
        <v>4334</v>
      </c>
      <c r="D176" s="237" t="s">
        <v>21</v>
      </c>
      <c r="E176" s="237" t="s">
        <v>4335</v>
      </c>
      <c r="F176" s="237" t="s">
        <v>21</v>
      </c>
      <c r="G176" s="237" t="s">
        <v>21</v>
      </c>
      <c r="H176" s="237" t="s">
        <v>4336</v>
      </c>
      <c r="I176" s="237" t="s">
        <v>4337</v>
      </c>
      <c r="J176" s="237" t="s">
        <v>4338</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925</v>
      </c>
      <c r="B177" s="236" t="s">
        <v>4339</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4340</v>
      </c>
      <c r="B178" s="237" t="s">
        <v>4341</v>
      </c>
      <c r="C178" s="237" t="s">
        <v>4342</v>
      </c>
      <c r="D178" s="237" t="s">
        <v>4343</v>
      </c>
      <c r="E178" s="237" t="s">
        <v>4344</v>
      </c>
      <c r="F178" s="237" t="s">
        <v>4345</v>
      </c>
      <c r="G178" s="237" t="s">
        <v>21</v>
      </c>
      <c r="H178" s="237" t="s">
        <v>4346</v>
      </c>
      <c r="I178" s="237" t="s">
        <v>4347</v>
      </c>
      <c r="J178" s="237" t="s">
        <v>4348</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929</v>
      </c>
      <c r="B179" s="236" t="s">
        <v>4349</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4350</v>
      </c>
      <c r="B180" s="237" t="s">
        <v>4351</v>
      </c>
      <c r="C180" s="237" t="s">
        <v>4352</v>
      </c>
      <c r="D180" s="237" t="s">
        <v>4343</v>
      </c>
      <c r="E180" s="237" t="s">
        <v>4353</v>
      </c>
      <c r="F180" s="237" t="s">
        <v>21</v>
      </c>
      <c r="G180" s="237" t="s">
        <v>21</v>
      </c>
      <c r="H180" s="237" t="s">
        <v>4354</v>
      </c>
      <c r="I180" s="237" t="s">
        <v>3866</v>
      </c>
      <c r="J180" s="237" t="s">
        <v>4355</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4356</v>
      </c>
      <c r="B181" s="237" t="s">
        <v>4357</v>
      </c>
      <c r="C181" s="237" t="s">
        <v>4358</v>
      </c>
      <c r="D181" s="237" t="s">
        <v>4359</v>
      </c>
      <c r="E181" s="237" t="s">
        <v>21</v>
      </c>
      <c r="F181" s="237" t="s">
        <v>21</v>
      </c>
      <c r="G181" s="237" t="s">
        <v>21</v>
      </c>
      <c r="H181" s="237" t="s">
        <v>4360</v>
      </c>
      <c r="I181" s="237" t="s">
        <v>4361</v>
      </c>
      <c r="J181" s="237" t="s">
        <v>4362</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4363</v>
      </c>
      <c r="B182" s="237" t="s">
        <v>4364</v>
      </c>
      <c r="C182" s="237" t="s">
        <v>4365</v>
      </c>
      <c r="D182" s="237" t="s">
        <v>4366</v>
      </c>
      <c r="E182" s="237" t="s">
        <v>21</v>
      </c>
      <c r="F182" s="237" t="s">
        <v>21</v>
      </c>
      <c r="G182" s="237" t="s">
        <v>21</v>
      </c>
      <c r="H182" s="237" t="s">
        <v>4367</v>
      </c>
      <c r="I182" s="237" t="s">
        <v>3866</v>
      </c>
      <c r="J182" s="237" t="s">
        <v>4368</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4369</v>
      </c>
      <c r="B183" s="235" t="s">
        <v>4370</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959</v>
      </c>
      <c r="B184" s="236" t="s">
        <v>4371</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4372</v>
      </c>
      <c r="B185" s="237" t="s">
        <v>4373</v>
      </c>
      <c r="C185" s="237" t="s">
        <v>4374</v>
      </c>
      <c r="D185" s="237" t="s">
        <v>3638</v>
      </c>
      <c r="E185" s="237" t="s">
        <v>4375</v>
      </c>
      <c r="F185" s="237" t="s">
        <v>21</v>
      </c>
      <c r="G185" s="237" t="s">
        <v>21</v>
      </c>
      <c r="H185" s="237" t="s">
        <v>4376</v>
      </c>
      <c r="I185" s="237" t="s">
        <v>21</v>
      </c>
      <c r="J185" s="237" t="s">
        <v>4377</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4378</v>
      </c>
      <c r="B186" s="237" t="s">
        <v>4379</v>
      </c>
      <c r="C186" s="237" t="s">
        <v>3643</v>
      </c>
      <c r="D186" s="237" t="s">
        <v>4380</v>
      </c>
      <c r="E186" s="237" t="s">
        <v>21</v>
      </c>
      <c r="F186" s="237" t="s">
        <v>21</v>
      </c>
      <c r="G186" s="237" t="s">
        <v>21</v>
      </c>
      <c r="H186" s="237" t="s">
        <v>4381</v>
      </c>
      <c r="I186" s="237" t="s">
        <v>21</v>
      </c>
      <c r="J186" s="237" t="s">
        <v>4382</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963</v>
      </c>
      <c r="B187" s="236" t="s">
        <v>4383</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4384</v>
      </c>
      <c r="B188" s="237" t="s">
        <v>4385</v>
      </c>
      <c r="C188" s="237" t="s">
        <v>4386</v>
      </c>
      <c r="D188" s="237" t="s">
        <v>4387</v>
      </c>
      <c r="E188" s="237" t="s">
        <v>21</v>
      </c>
      <c r="F188" s="237" t="s">
        <v>4388</v>
      </c>
      <c r="G188" s="237" t="s">
        <v>21</v>
      </c>
      <c r="H188" s="237" t="s">
        <v>4389</v>
      </c>
      <c r="I188" s="237" t="s">
        <v>4390</v>
      </c>
      <c r="J188" s="237" t="s">
        <v>4391</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4392</v>
      </c>
      <c r="B189" s="237" t="s">
        <v>4393</v>
      </c>
      <c r="C189" s="237" t="s">
        <v>4394</v>
      </c>
      <c r="D189" s="237" t="s">
        <v>4395</v>
      </c>
      <c r="E189" s="237" t="s">
        <v>21</v>
      </c>
      <c r="F189" s="237" t="s">
        <v>21</v>
      </c>
      <c r="G189" s="237" t="s">
        <v>21</v>
      </c>
      <c r="H189" s="237" t="s">
        <v>4396</v>
      </c>
      <c r="I189" s="237" t="s">
        <v>21</v>
      </c>
      <c r="J189" s="237" t="s">
        <v>4397</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4398</v>
      </c>
      <c r="B190" s="237" t="s">
        <v>4399</v>
      </c>
      <c r="C190" s="237" t="s">
        <v>4400</v>
      </c>
      <c r="D190" s="237" t="s">
        <v>4401</v>
      </c>
      <c r="E190" s="237" t="s">
        <v>21</v>
      </c>
      <c r="F190" s="237" t="s">
        <v>4402</v>
      </c>
      <c r="G190" s="237" t="s">
        <v>21</v>
      </c>
      <c r="H190" s="237" t="s">
        <v>4403</v>
      </c>
      <c r="I190" s="237" t="s">
        <v>21</v>
      </c>
      <c r="J190" s="237" t="s">
        <v>4404</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4405</v>
      </c>
      <c r="B191" s="237" t="s">
        <v>4406</v>
      </c>
      <c r="C191" s="237" t="s">
        <v>4407</v>
      </c>
      <c r="D191" s="237" t="s">
        <v>21</v>
      </c>
      <c r="E191" s="237" t="s">
        <v>21</v>
      </c>
      <c r="F191" s="237" t="s">
        <v>21</v>
      </c>
      <c r="G191" s="237" t="s">
        <v>21</v>
      </c>
      <c r="H191" s="237" t="s">
        <v>4408</v>
      </c>
      <c r="I191" s="237" t="s">
        <v>21</v>
      </c>
      <c r="J191" s="237" t="s">
        <v>4409</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4410</v>
      </c>
      <c r="B192" s="237" t="s">
        <v>4411</v>
      </c>
      <c r="C192" s="237" t="s">
        <v>4412</v>
      </c>
      <c r="D192" s="237" t="s">
        <v>4413</v>
      </c>
      <c r="E192" s="237" t="s">
        <v>4414</v>
      </c>
      <c r="F192" s="237" t="s">
        <v>21</v>
      </c>
      <c r="G192" s="237" t="s">
        <v>21</v>
      </c>
      <c r="H192" s="237" t="s">
        <v>4415</v>
      </c>
      <c r="I192" s="237" t="s">
        <v>21</v>
      </c>
      <c r="J192" s="237" t="s">
        <v>4416</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967</v>
      </c>
      <c r="B193" s="236" t="s">
        <v>4417</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4418</v>
      </c>
      <c r="B194" s="237" t="s">
        <v>4419</v>
      </c>
      <c r="C194" s="237" t="s">
        <v>4420</v>
      </c>
      <c r="D194" s="237" t="s">
        <v>4413</v>
      </c>
      <c r="E194" s="237" t="s">
        <v>4414</v>
      </c>
      <c r="F194" s="237" t="s">
        <v>4421</v>
      </c>
      <c r="G194" s="237" t="s">
        <v>21</v>
      </c>
      <c r="H194" s="237" t="s">
        <v>4422</v>
      </c>
      <c r="I194" s="237" t="s">
        <v>21</v>
      </c>
      <c r="J194" s="237" t="s">
        <v>4423</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4424</v>
      </c>
      <c r="B195" s="237" t="s">
        <v>4425</v>
      </c>
      <c r="C195" s="237" t="s">
        <v>4426</v>
      </c>
      <c r="D195" s="237" t="s">
        <v>4427</v>
      </c>
      <c r="E195" s="237" t="s">
        <v>21</v>
      </c>
      <c r="F195" s="237" t="s">
        <v>21</v>
      </c>
      <c r="G195" s="237" t="s">
        <v>21</v>
      </c>
      <c r="H195" s="237" t="s">
        <v>4428</v>
      </c>
      <c r="I195" s="237" t="s">
        <v>21</v>
      </c>
      <c r="J195" s="237" t="s">
        <v>4429</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4430</v>
      </c>
      <c r="B196" s="237" t="s">
        <v>4431</v>
      </c>
      <c r="C196" s="237" t="s">
        <v>4432</v>
      </c>
      <c r="D196" s="237" t="s">
        <v>21</v>
      </c>
      <c r="E196" s="237" t="s">
        <v>4433</v>
      </c>
      <c r="F196" s="237" t="s">
        <v>21</v>
      </c>
      <c r="G196" s="237" t="s">
        <v>21</v>
      </c>
      <c r="H196" s="237" t="s">
        <v>4434</v>
      </c>
      <c r="I196" s="237" t="s">
        <v>21</v>
      </c>
      <c r="J196" s="237" t="s">
        <v>4435</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4436</v>
      </c>
      <c r="B197" s="237" t="s">
        <v>4437</v>
      </c>
      <c r="C197" s="237" t="s">
        <v>4438</v>
      </c>
      <c r="D197" s="237" t="s">
        <v>21</v>
      </c>
      <c r="E197" s="237" t="s">
        <v>21</v>
      </c>
      <c r="F197" s="237" t="s">
        <v>21</v>
      </c>
      <c r="G197" s="237" t="s">
        <v>21</v>
      </c>
      <c r="H197" s="237" t="s">
        <v>4439</v>
      </c>
      <c r="I197" s="237" t="s">
        <v>21</v>
      </c>
      <c r="J197" s="237" t="s">
        <v>4440</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4441</v>
      </c>
      <c r="B198" s="237" t="s">
        <v>4442</v>
      </c>
      <c r="C198" s="237" t="s">
        <v>4443</v>
      </c>
      <c r="D198" s="237" t="s">
        <v>4444</v>
      </c>
      <c r="E198" s="237" t="s">
        <v>21</v>
      </c>
      <c r="F198" s="237" t="s">
        <v>21</v>
      </c>
      <c r="G198" s="237" t="s">
        <v>21</v>
      </c>
      <c r="H198" s="237" t="s">
        <v>4445</v>
      </c>
      <c r="I198" s="237" t="s">
        <v>21</v>
      </c>
      <c r="J198" s="237" t="s">
        <v>4446</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971</v>
      </c>
      <c r="B199" s="236" t="s">
        <v>4447</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4448</v>
      </c>
      <c r="B200" s="237" t="s">
        <v>4449</v>
      </c>
      <c r="C200" s="237" t="s">
        <v>4450</v>
      </c>
      <c r="D200" s="237" t="s">
        <v>21</v>
      </c>
      <c r="E200" s="237" t="s">
        <v>21</v>
      </c>
      <c r="F200" s="237" t="s">
        <v>21</v>
      </c>
      <c r="G200" s="237" t="s">
        <v>21</v>
      </c>
      <c r="H200" s="237" t="s">
        <v>4451</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4452</v>
      </c>
      <c r="B201" s="237" t="s">
        <v>4453</v>
      </c>
      <c r="C201" s="237" t="s">
        <v>4454</v>
      </c>
      <c r="D201" s="237" t="s">
        <v>4455</v>
      </c>
      <c r="E201" s="237" t="s">
        <v>21</v>
      </c>
      <c r="F201" s="237" t="s">
        <v>21</v>
      </c>
      <c r="G201" s="237" t="s">
        <v>21</v>
      </c>
      <c r="H201" s="237" t="s">
        <v>4456</v>
      </c>
      <c r="I201" s="237" t="s">
        <v>21</v>
      </c>
      <c r="J201" s="237" t="s">
        <v>4457</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4458</v>
      </c>
      <c r="B202" s="237" t="s">
        <v>4459</v>
      </c>
      <c r="C202" s="237" t="s">
        <v>4460</v>
      </c>
      <c r="D202" s="237" t="s">
        <v>21</v>
      </c>
      <c r="E202" s="237" t="s">
        <v>21</v>
      </c>
      <c r="F202" s="237" t="s">
        <v>21</v>
      </c>
      <c r="G202" s="237" t="s">
        <v>21</v>
      </c>
      <c r="H202" s="237" t="s">
        <v>4461</v>
      </c>
      <c r="I202" s="237" t="s">
        <v>21</v>
      </c>
      <c r="J202" s="237" t="s">
        <v>4462</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4463</v>
      </c>
      <c r="B203" s="237" t="s">
        <v>4464</v>
      </c>
      <c r="C203" s="237" t="s">
        <v>4465</v>
      </c>
      <c r="D203" s="237" t="s">
        <v>4466</v>
      </c>
      <c r="E203" s="237" t="s">
        <v>21</v>
      </c>
      <c r="F203" s="237" t="s">
        <v>21</v>
      </c>
      <c r="G203" s="237" t="s">
        <v>21</v>
      </c>
      <c r="H203" s="237" t="s">
        <v>4467</v>
      </c>
      <c r="I203" s="237" t="s">
        <v>21</v>
      </c>
      <c r="J203" s="237" t="s">
        <v>4468</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4469</v>
      </c>
      <c r="B204" s="237" t="s">
        <v>4470</v>
      </c>
      <c r="C204" s="237" t="s">
        <v>4471</v>
      </c>
      <c r="D204" s="237" t="s">
        <v>21</v>
      </c>
      <c r="E204" s="237" t="s">
        <v>21</v>
      </c>
      <c r="F204" s="237" t="s">
        <v>21</v>
      </c>
      <c r="G204" s="237" t="s">
        <v>21</v>
      </c>
      <c r="H204" s="237" t="s">
        <v>4472</v>
      </c>
      <c r="I204" s="237" t="s">
        <v>21</v>
      </c>
      <c r="J204" s="237" t="s">
        <v>4473</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4474</v>
      </c>
      <c r="B205" s="237" t="s">
        <v>4475</v>
      </c>
      <c r="C205" s="237" t="s">
        <v>4476</v>
      </c>
      <c r="D205" s="237" t="s">
        <v>21</v>
      </c>
      <c r="E205" s="237" t="s">
        <v>21</v>
      </c>
      <c r="F205" s="237" t="s">
        <v>21</v>
      </c>
      <c r="G205" s="237" t="s">
        <v>21</v>
      </c>
      <c r="H205" s="237" t="s">
        <v>4477</v>
      </c>
      <c r="I205" s="237" t="s">
        <v>4478</v>
      </c>
      <c r="J205" s="237" t="s">
        <v>4479</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4480</v>
      </c>
      <c r="B206" s="237" t="s">
        <v>4481</v>
      </c>
      <c r="C206" s="237" t="s">
        <v>4482</v>
      </c>
      <c r="D206" s="237" t="s">
        <v>21</v>
      </c>
      <c r="E206" s="237" t="s">
        <v>21</v>
      </c>
      <c r="F206" s="237" t="s">
        <v>21</v>
      </c>
      <c r="G206" s="237" t="s">
        <v>21</v>
      </c>
      <c r="H206" s="237" t="s">
        <v>4483</v>
      </c>
      <c r="I206" s="237" t="s">
        <v>21</v>
      </c>
      <c r="J206" s="237" t="s">
        <v>4484</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4485</v>
      </c>
      <c r="B207" s="237" t="s">
        <v>4486</v>
      </c>
      <c r="C207" s="237" t="s">
        <v>4482</v>
      </c>
      <c r="D207" s="237" t="s">
        <v>4487</v>
      </c>
      <c r="E207" s="237" t="s">
        <v>21</v>
      </c>
      <c r="F207" s="237" t="s">
        <v>21</v>
      </c>
      <c r="G207" s="237" t="s">
        <v>21</v>
      </c>
      <c r="H207" s="237" t="s">
        <v>4488</v>
      </c>
      <c r="I207" s="237" t="s">
        <v>21</v>
      </c>
      <c r="J207" s="237" t="s">
        <v>4489</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4490</v>
      </c>
      <c r="B208" s="237" t="s">
        <v>4491</v>
      </c>
      <c r="C208" s="237" t="s">
        <v>4492</v>
      </c>
      <c r="D208" s="237" t="s">
        <v>4487</v>
      </c>
      <c r="E208" s="237" t="s">
        <v>21</v>
      </c>
      <c r="F208" s="237" t="s">
        <v>4493</v>
      </c>
      <c r="G208" s="237" t="s">
        <v>4494</v>
      </c>
      <c r="H208" s="237" t="s">
        <v>4495</v>
      </c>
      <c r="I208" s="237" t="s">
        <v>4496</v>
      </c>
      <c r="J208" s="237" t="s">
        <v>4497</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4498</v>
      </c>
      <c r="B209" s="237" t="s">
        <v>4499</v>
      </c>
      <c r="C209" s="237" t="s">
        <v>4500</v>
      </c>
      <c r="D209" s="237" t="s">
        <v>4501</v>
      </c>
      <c r="E209" s="237" t="s">
        <v>21</v>
      </c>
      <c r="F209" s="237" t="s">
        <v>4493</v>
      </c>
      <c r="G209" s="237" t="s">
        <v>4502</v>
      </c>
      <c r="H209" s="237" t="s">
        <v>4503</v>
      </c>
      <c r="I209" s="237" t="s">
        <v>4496</v>
      </c>
      <c r="J209" s="237" t="s">
        <v>4504</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975</v>
      </c>
      <c r="B210" s="236" t="s">
        <v>4505</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4506</v>
      </c>
      <c r="B211" s="237" t="s">
        <v>4507</v>
      </c>
      <c r="C211" s="237" t="s">
        <v>4508</v>
      </c>
      <c r="D211" s="237" t="s">
        <v>4509</v>
      </c>
      <c r="E211" s="237" t="s">
        <v>21</v>
      </c>
      <c r="F211" s="237" t="s">
        <v>21</v>
      </c>
      <c r="G211" s="237" t="s">
        <v>4510</v>
      </c>
      <c r="H211" s="237" t="s">
        <v>4511</v>
      </c>
      <c r="I211" s="237" t="s">
        <v>4512</v>
      </c>
      <c r="J211" s="237" t="s">
        <v>4513</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4514</v>
      </c>
      <c r="B212" s="237" t="s">
        <v>4515</v>
      </c>
      <c r="C212" s="237" t="s">
        <v>4516</v>
      </c>
      <c r="D212" s="237" t="s">
        <v>4517</v>
      </c>
      <c r="E212" s="237" t="s">
        <v>21</v>
      </c>
      <c r="F212" s="237" t="s">
        <v>4518</v>
      </c>
      <c r="G212" s="237" t="s">
        <v>21</v>
      </c>
      <c r="H212" s="237" t="s">
        <v>21</v>
      </c>
      <c r="I212" s="237" t="s">
        <v>21</v>
      </c>
      <c r="J212" s="237" t="s">
        <v>4519</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4520</v>
      </c>
      <c r="B213" s="237" t="s">
        <v>4521</v>
      </c>
      <c r="C213" s="237" t="s">
        <v>4522</v>
      </c>
      <c r="D213" s="237" t="s">
        <v>4523</v>
      </c>
      <c r="E213" s="237" t="s">
        <v>21</v>
      </c>
      <c r="F213" s="237" t="s">
        <v>4524</v>
      </c>
      <c r="G213" s="237" t="s">
        <v>21</v>
      </c>
      <c r="H213" s="237" t="s">
        <v>4525</v>
      </c>
      <c r="I213" s="237" t="s">
        <v>21</v>
      </c>
      <c r="J213" s="237" t="s">
        <v>4526</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4527</v>
      </c>
      <c r="B214" s="237" t="s">
        <v>4528</v>
      </c>
      <c r="C214" s="237" t="s">
        <v>4529</v>
      </c>
      <c r="D214" s="237" t="s">
        <v>4530</v>
      </c>
      <c r="E214" s="237" t="s">
        <v>21</v>
      </c>
      <c r="F214" s="237" t="s">
        <v>21</v>
      </c>
      <c r="G214" s="237" t="s">
        <v>21</v>
      </c>
      <c r="H214" s="237" t="s">
        <v>4531</v>
      </c>
      <c r="I214" s="237" t="s">
        <v>3866</v>
      </c>
      <c r="J214" s="237" t="s">
        <v>4532</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4533</v>
      </c>
      <c r="B215" s="237" t="s">
        <v>4534</v>
      </c>
      <c r="C215" s="237" t="s">
        <v>4535</v>
      </c>
      <c r="D215" s="237" t="s">
        <v>4536</v>
      </c>
      <c r="E215" s="237" t="s">
        <v>21</v>
      </c>
      <c r="F215" s="237" t="s">
        <v>21</v>
      </c>
      <c r="G215" s="237" t="s">
        <v>21</v>
      </c>
      <c r="H215" s="237" t="s">
        <v>4537</v>
      </c>
      <c r="I215" s="237" t="s">
        <v>21</v>
      </c>
      <c r="J215" s="237" t="s">
        <v>4538</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4539</v>
      </c>
      <c r="B216" s="235" t="s">
        <v>4540</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989</v>
      </c>
      <c r="B217" s="236" t="s">
        <v>4541</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4542</v>
      </c>
      <c r="B218" s="237" t="s">
        <v>4543</v>
      </c>
      <c r="C218" s="237" t="s">
        <v>4544</v>
      </c>
      <c r="D218" s="237" t="s">
        <v>3638</v>
      </c>
      <c r="E218" s="237" t="s">
        <v>3424</v>
      </c>
      <c r="F218" s="237" t="s">
        <v>21</v>
      </c>
      <c r="G218" s="237" t="s">
        <v>21</v>
      </c>
      <c r="H218" s="237" t="s">
        <v>4545</v>
      </c>
      <c r="I218" s="237" t="s">
        <v>21</v>
      </c>
      <c r="J218" s="237" t="s">
        <v>4546</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4547</v>
      </c>
      <c r="B219" s="237" t="s">
        <v>4548</v>
      </c>
      <c r="C219" s="237" t="s">
        <v>3429</v>
      </c>
      <c r="D219" s="237" t="s">
        <v>3430</v>
      </c>
      <c r="E219" s="237" t="s">
        <v>21</v>
      </c>
      <c r="F219" s="237" t="s">
        <v>3432</v>
      </c>
      <c r="G219" s="237" t="s">
        <v>21</v>
      </c>
      <c r="H219" s="237" t="s">
        <v>4549</v>
      </c>
      <c r="I219" s="237" t="s">
        <v>21</v>
      </c>
      <c r="J219" s="237" t="s">
        <v>4550</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993</v>
      </c>
      <c r="B220" s="236" t="s">
        <v>4551</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4552</v>
      </c>
      <c r="B221" s="237" t="s">
        <v>4553</v>
      </c>
      <c r="C221" s="237" t="s">
        <v>4554</v>
      </c>
      <c r="D221" s="237" t="s">
        <v>4555</v>
      </c>
      <c r="E221" s="237" t="s">
        <v>21</v>
      </c>
      <c r="F221" s="237" t="s">
        <v>21</v>
      </c>
      <c r="G221" s="237" t="s">
        <v>21</v>
      </c>
      <c r="H221" s="237" t="s">
        <v>4556</v>
      </c>
      <c r="I221" s="237" t="s">
        <v>21</v>
      </c>
      <c r="J221" s="237" t="s">
        <v>4557</v>
      </c>
      <c r="K221" s="240">
        <f>IF(COUNTIF(L221:AY221,"&lt;&gt;")=0,"",SUMPRODUCT(((Recommendations[ImplStatus]="Implemented")+(Recommendations[ImplStatus]="Compensated"))*ISNUMBER(MATCH(Recommendations[Id],L221:AY221,0)))/COUNTIF(L221:AY221,"&lt;&gt;"))</f>
        <v>0</v>
      </c>
      <c r="L221" s="243" t="s">
        <v>14</v>
      </c>
      <c r="M221" s="243" t="s">
        <v>67</v>
      </c>
      <c r="N221" s="243" t="s">
        <v>182</v>
      </c>
      <c r="O221" s="243" t="s">
        <v>188</v>
      </c>
      <c r="P221" s="243" t="s">
        <v>281</v>
      </c>
      <c r="Q221" s="243" t="s">
        <v>286</v>
      </c>
      <c r="R221" s="243" t="s">
        <v>291</v>
      </c>
      <c r="S221" s="243" t="s">
        <v>312</v>
      </c>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4558</v>
      </c>
      <c r="B222" s="237" t="s">
        <v>4559</v>
      </c>
      <c r="C222" s="237" t="s">
        <v>4560</v>
      </c>
      <c r="D222" s="237" t="s">
        <v>4561</v>
      </c>
      <c r="E222" s="237" t="s">
        <v>21</v>
      </c>
      <c r="F222" s="237" t="s">
        <v>21</v>
      </c>
      <c r="G222" s="237" t="s">
        <v>21</v>
      </c>
      <c r="H222" s="237" t="s">
        <v>4562</v>
      </c>
      <c r="I222" s="237" t="s">
        <v>21</v>
      </c>
      <c r="J222" s="237" t="s">
        <v>4563</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4564</v>
      </c>
      <c r="B223" s="237" t="s">
        <v>4565</v>
      </c>
      <c r="C223" s="237" t="s">
        <v>4566</v>
      </c>
      <c r="D223" s="237" t="s">
        <v>21</v>
      </c>
      <c r="E223" s="237" t="s">
        <v>4567</v>
      </c>
      <c r="F223" s="237" t="s">
        <v>21</v>
      </c>
      <c r="G223" s="237" t="s">
        <v>21</v>
      </c>
      <c r="H223" s="237" t="s">
        <v>4568</v>
      </c>
      <c r="I223" s="237" t="s">
        <v>21</v>
      </c>
      <c r="J223" s="237" t="s">
        <v>4569</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4570</v>
      </c>
      <c r="B224" s="237" t="s">
        <v>4571</v>
      </c>
      <c r="C224" s="237" t="s">
        <v>4572</v>
      </c>
      <c r="D224" s="237" t="s">
        <v>21</v>
      </c>
      <c r="E224" s="237" t="s">
        <v>21</v>
      </c>
      <c r="F224" s="237" t="s">
        <v>21</v>
      </c>
      <c r="G224" s="237" t="s">
        <v>21</v>
      </c>
      <c r="H224" s="237" t="s">
        <v>4573</v>
      </c>
      <c r="I224" s="237" t="s">
        <v>21</v>
      </c>
      <c r="J224" s="237" t="s">
        <v>4574</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4575</v>
      </c>
      <c r="B225" s="237" t="s">
        <v>4576</v>
      </c>
      <c r="C225" s="237" t="s">
        <v>4577</v>
      </c>
      <c r="D225" s="237" t="s">
        <v>21</v>
      </c>
      <c r="E225" s="237" t="s">
        <v>21</v>
      </c>
      <c r="F225" s="237" t="s">
        <v>21</v>
      </c>
      <c r="G225" s="237" t="s">
        <v>21</v>
      </c>
      <c r="H225" s="237" t="s">
        <v>4578</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4579</v>
      </c>
      <c r="B226" s="237" t="s">
        <v>4580</v>
      </c>
      <c r="C226" s="237" t="s">
        <v>4581</v>
      </c>
      <c r="D226" s="237" t="s">
        <v>21</v>
      </c>
      <c r="E226" s="237" t="s">
        <v>21</v>
      </c>
      <c r="F226" s="237" t="s">
        <v>21</v>
      </c>
      <c r="G226" s="237" t="s">
        <v>21</v>
      </c>
      <c r="H226" s="237" t="s">
        <v>4582</v>
      </c>
      <c r="I226" s="237" t="s">
        <v>21</v>
      </c>
      <c r="J226" s="237" t="s">
        <v>4583</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4584</v>
      </c>
      <c r="B227" s="237" t="s">
        <v>4585</v>
      </c>
      <c r="C227" s="237" t="s">
        <v>4586</v>
      </c>
      <c r="D227" s="237" t="s">
        <v>21</v>
      </c>
      <c r="E227" s="237" t="s">
        <v>21</v>
      </c>
      <c r="F227" s="237" t="s">
        <v>21</v>
      </c>
      <c r="G227" s="237" t="s">
        <v>21</v>
      </c>
      <c r="H227" s="237" t="s">
        <v>4587</v>
      </c>
      <c r="I227" s="237" t="s">
        <v>21</v>
      </c>
      <c r="J227" s="237" t="s">
        <v>4588</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4589</v>
      </c>
      <c r="B228" s="237" t="s">
        <v>4590</v>
      </c>
      <c r="C228" s="237" t="s">
        <v>4591</v>
      </c>
      <c r="D228" s="237" t="s">
        <v>21</v>
      </c>
      <c r="E228" s="237" t="s">
        <v>21</v>
      </c>
      <c r="F228" s="237" t="s">
        <v>21</v>
      </c>
      <c r="G228" s="237" t="s">
        <v>21</v>
      </c>
      <c r="H228" s="237" t="s">
        <v>4592</v>
      </c>
      <c r="I228" s="237" t="s">
        <v>21</v>
      </c>
      <c r="J228" s="237" t="s">
        <v>4593</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4594</v>
      </c>
      <c r="B229" s="237" t="s">
        <v>4595</v>
      </c>
      <c r="C229" s="237" t="s">
        <v>4596</v>
      </c>
      <c r="D229" s="237" t="s">
        <v>21</v>
      </c>
      <c r="E229" s="237" t="s">
        <v>21</v>
      </c>
      <c r="F229" s="237" t="s">
        <v>21</v>
      </c>
      <c r="G229" s="237" t="s">
        <v>21</v>
      </c>
      <c r="H229" s="237" t="s">
        <v>4597</v>
      </c>
      <c r="I229" s="237" t="s">
        <v>21</v>
      </c>
      <c r="J229" s="237" t="s">
        <v>4598</v>
      </c>
      <c r="K229" s="240">
        <f>IF(COUNTIF(L229:AY229,"&lt;&gt;")=0,"",SUMPRODUCT(((Recommendations[ImplStatus]="Implemented")+(Recommendations[ImplStatus]="Compensated"))*ISNUMBER(MATCH(Recommendations[Id],L229:AY229,0)))/COUNTIF(L229:AY229,"&lt;&gt;"))</f>
        <v>0</v>
      </c>
      <c r="L229" s="243" t="s">
        <v>14</v>
      </c>
      <c r="M229" s="243" t="s">
        <v>67</v>
      </c>
      <c r="N229" s="243" t="s">
        <v>182</v>
      </c>
      <c r="O229" s="243" t="s">
        <v>188</v>
      </c>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997</v>
      </c>
      <c r="B230" s="236" t="s">
        <v>4599</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4600</v>
      </c>
      <c r="B231" s="237" t="s">
        <v>4601</v>
      </c>
      <c r="C231" s="237" t="s">
        <v>4602</v>
      </c>
      <c r="D231" s="237" t="s">
        <v>4603</v>
      </c>
      <c r="E231" s="237" t="s">
        <v>21</v>
      </c>
      <c r="F231" s="237" t="s">
        <v>21</v>
      </c>
      <c r="G231" s="237" t="s">
        <v>21</v>
      </c>
      <c r="H231" s="237" t="s">
        <v>4604</v>
      </c>
      <c r="I231" s="237" t="s">
        <v>21</v>
      </c>
      <c r="J231" s="237" t="s">
        <v>4605</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4606</v>
      </c>
      <c r="B232" s="237" t="s">
        <v>4607</v>
      </c>
      <c r="C232" s="237" t="s">
        <v>4608</v>
      </c>
      <c r="D232" s="237" t="s">
        <v>4609</v>
      </c>
      <c r="E232" s="237" t="s">
        <v>21</v>
      </c>
      <c r="F232" s="237" t="s">
        <v>21</v>
      </c>
      <c r="G232" s="237" t="s">
        <v>21</v>
      </c>
      <c r="H232" s="237" t="s">
        <v>4610</v>
      </c>
      <c r="I232" s="237" t="s">
        <v>21</v>
      </c>
      <c r="J232" s="237" t="s">
        <v>4611</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4612</v>
      </c>
      <c r="B233" s="237" t="s">
        <v>4613</v>
      </c>
      <c r="C233" s="237" t="s">
        <v>4614</v>
      </c>
      <c r="D233" s="237" t="s">
        <v>4615</v>
      </c>
      <c r="E233" s="237" t="s">
        <v>21</v>
      </c>
      <c r="F233" s="237" t="s">
        <v>21</v>
      </c>
      <c r="G233" s="237" t="s">
        <v>21</v>
      </c>
      <c r="H233" s="237" t="s">
        <v>4616</v>
      </c>
      <c r="I233" s="237" t="s">
        <v>21</v>
      </c>
      <c r="J233" s="237" t="s">
        <v>4617</v>
      </c>
      <c r="K233" s="240">
        <f>IF(COUNTIF(L233:AY233,"&lt;&gt;")=0,"",SUMPRODUCT(((Recommendations[ImplStatus]="Implemented")+(Recommendations[ImplStatus]="Compensated"))*ISNUMBER(MATCH(Recommendations[Id],L233:AY233,0)))/COUNTIF(L233:AY233,"&lt;&gt;"))</f>
        <v>0</v>
      </c>
      <c r="L233" s="243" t="s">
        <v>286</v>
      </c>
      <c r="M233" s="243" t="s">
        <v>291</v>
      </c>
      <c r="N233" s="243" t="s">
        <v>312</v>
      </c>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4618</v>
      </c>
      <c r="B234" s="237" t="s">
        <v>4619</v>
      </c>
      <c r="C234" s="237" t="s">
        <v>4620</v>
      </c>
      <c r="D234" s="237" t="s">
        <v>4621</v>
      </c>
      <c r="E234" s="237" t="s">
        <v>21</v>
      </c>
      <c r="F234" s="237" t="s">
        <v>21</v>
      </c>
      <c r="G234" s="237" t="s">
        <v>21</v>
      </c>
      <c r="H234" s="237" t="s">
        <v>4622</v>
      </c>
      <c r="I234" s="237" t="s">
        <v>21</v>
      </c>
      <c r="J234" s="237" t="s">
        <v>4623</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1001</v>
      </c>
      <c r="B235" s="236" t="s">
        <v>4624</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4625</v>
      </c>
      <c r="B236" s="237" t="s">
        <v>4626</v>
      </c>
      <c r="C236" s="237" t="s">
        <v>4627</v>
      </c>
      <c r="D236" s="237" t="s">
        <v>4628</v>
      </c>
      <c r="E236" s="237" t="s">
        <v>21</v>
      </c>
      <c r="F236" s="237" t="s">
        <v>21</v>
      </c>
      <c r="G236" s="237" t="s">
        <v>21</v>
      </c>
      <c r="H236" s="237" t="s">
        <v>4629</v>
      </c>
      <c r="I236" s="237" t="s">
        <v>21</v>
      </c>
      <c r="J236" s="237" t="s">
        <v>4630</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4631</v>
      </c>
      <c r="B237" s="237" t="s">
        <v>4632</v>
      </c>
      <c r="C237" s="237" t="s">
        <v>4633</v>
      </c>
      <c r="D237" s="237" t="s">
        <v>4634</v>
      </c>
      <c r="E237" s="237" t="s">
        <v>21</v>
      </c>
      <c r="F237" s="237" t="s">
        <v>21</v>
      </c>
      <c r="G237" s="237" t="s">
        <v>4635</v>
      </c>
      <c r="H237" s="237" t="s">
        <v>4636</v>
      </c>
      <c r="I237" s="237" t="s">
        <v>3866</v>
      </c>
      <c r="J237" s="237" t="s">
        <v>4637</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4638</v>
      </c>
      <c r="B238" s="237" t="s">
        <v>4639</v>
      </c>
      <c r="C238" s="237" t="s">
        <v>4640</v>
      </c>
      <c r="D238" s="237" t="s">
        <v>21</v>
      </c>
      <c r="E238" s="237" t="s">
        <v>21</v>
      </c>
      <c r="F238" s="237" t="s">
        <v>21</v>
      </c>
      <c r="G238" s="237" t="s">
        <v>21</v>
      </c>
      <c r="H238" s="237" t="s">
        <v>4641</v>
      </c>
      <c r="I238" s="237" t="s">
        <v>4642</v>
      </c>
      <c r="J238" s="237" t="s">
        <v>4643</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4644</v>
      </c>
      <c r="B239" s="237" t="s">
        <v>4645</v>
      </c>
      <c r="C239" s="237" t="s">
        <v>4646</v>
      </c>
      <c r="D239" s="237" t="s">
        <v>21</v>
      </c>
      <c r="E239" s="237" t="s">
        <v>21</v>
      </c>
      <c r="F239" s="237" t="s">
        <v>21</v>
      </c>
      <c r="G239" s="237" t="s">
        <v>21</v>
      </c>
      <c r="H239" s="237" t="s">
        <v>4647</v>
      </c>
      <c r="I239" s="237" t="s">
        <v>3866</v>
      </c>
      <c r="J239" s="237" t="s">
        <v>4648</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4649</v>
      </c>
      <c r="B240" s="237" t="s">
        <v>4650</v>
      </c>
      <c r="C240" s="237" t="s">
        <v>4651</v>
      </c>
      <c r="D240" s="237" t="s">
        <v>4652</v>
      </c>
      <c r="E240" s="237" t="s">
        <v>21</v>
      </c>
      <c r="F240" s="237" t="s">
        <v>21</v>
      </c>
      <c r="G240" s="237" t="s">
        <v>21</v>
      </c>
      <c r="H240" s="237" t="s">
        <v>4653</v>
      </c>
      <c r="I240" s="237" t="s">
        <v>21</v>
      </c>
      <c r="J240" s="237" t="s">
        <v>4654</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1005</v>
      </c>
      <c r="B241" s="236" t="s">
        <v>4655</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4656</v>
      </c>
      <c r="B242" s="237" t="s">
        <v>4657</v>
      </c>
      <c r="C242" s="237" t="s">
        <v>4658</v>
      </c>
      <c r="D242" s="237" t="s">
        <v>21</v>
      </c>
      <c r="E242" s="237" t="s">
        <v>21</v>
      </c>
      <c r="F242" s="237" t="s">
        <v>4659</v>
      </c>
      <c r="G242" s="237" t="s">
        <v>21</v>
      </c>
      <c r="H242" s="237" t="s">
        <v>4660</v>
      </c>
      <c r="I242" s="237" t="s">
        <v>21</v>
      </c>
      <c r="J242" s="237" t="s">
        <v>4661</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1009</v>
      </c>
      <c r="B243" s="236" t="s">
        <v>4662</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4663</v>
      </c>
      <c r="B244" s="237" t="s">
        <v>4664</v>
      </c>
      <c r="C244" s="237" t="s">
        <v>4665</v>
      </c>
      <c r="D244" s="237" t="s">
        <v>21</v>
      </c>
      <c r="E244" s="237" t="s">
        <v>21</v>
      </c>
      <c r="F244" s="237" t="s">
        <v>4666</v>
      </c>
      <c r="G244" s="237" t="s">
        <v>21</v>
      </c>
      <c r="H244" s="237" t="s">
        <v>4667</v>
      </c>
      <c r="I244" s="237" t="s">
        <v>4668</v>
      </c>
      <c r="J244" s="237" t="s">
        <v>4669</v>
      </c>
      <c r="K244" s="240">
        <f>IF(COUNTIF(L244:AY244,"&lt;&gt;")=0,"",SUMPRODUCT(((Recommendations[ImplStatus]="Implemented")+(Recommendations[ImplStatus]="Compensated"))*ISNUMBER(MATCH(Recommendations[Id],L244:AY244,0)))/COUNTIF(L244:AY244,"&lt;&gt;"))</f>
        <v>0</v>
      </c>
      <c r="L244" s="243" t="s">
        <v>262</v>
      </c>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4670</v>
      </c>
      <c r="B245" s="237" t="s">
        <v>4671</v>
      </c>
      <c r="C245" s="237" t="s">
        <v>4672</v>
      </c>
      <c r="D245" s="237" t="s">
        <v>4673</v>
      </c>
      <c r="E245" s="237" t="s">
        <v>21</v>
      </c>
      <c r="F245" s="237" t="s">
        <v>21</v>
      </c>
      <c r="G245" s="237" t="s">
        <v>21</v>
      </c>
      <c r="H245" s="237" t="s">
        <v>4674</v>
      </c>
      <c r="I245" s="237" t="s">
        <v>21</v>
      </c>
      <c r="J245" s="237" t="s">
        <v>4675</v>
      </c>
      <c r="K245" s="240">
        <f>IF(COUNTIF(L245:AY245,"&lt;&gt;")=0,"",SUMPRODUCT(((Recommendations[ImplStatus]="Implemented")+(Recommendations[ImplStatus]="Compensated"))*ISNUMBER(MATCH(Recommendations[Id],L245:AY245,0)))/COUNTIF(L245:AY245,"&lt;&gt;"))</f>
        <v>0</v>
      </c>
      <c r="L245" s="243" t="s">
        <v>262</v>
      </c>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4676</v>
      </c>
      <c r="B246" s="237" t="s">
        <v>4677</v>
      </c>
      <c r="C246" s="237" t="s">
        <v>4678</v>
      </c>
      <c r="D246" s="237" t="s">
        <v>21</v>
      </c>
      <c r="E246" s="237" t="s">
        <v>21</v>
      </c>
      <c r="F246" s="237" t="s">
        <v>21</v>
      </c>
      <c r="G246" s="237" t="s">
        <v>21</v>
      </c>
      <c r="H246" s="237" t="s">
        <v>4679</v>
      </c>
      <c r="I246" s="237" t="s">
        <v>21</v>
      </c>
      <c r="J246" s="237" t="s">
        <v>4680</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1013</v>
      </c>
      <c r="B247" s="236" t="s">
        <v>4681</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4682</v>
      </c>
      <c r="B248" s="237" t="s">
        <v>4683</v>
      </c>
      <c r="C248" s="237" t="s">
        <v>4684</v>
      </c>
      <c r="D248" s="237" t="s">
        <v>4685</v>
      </c>
      <c r="E248" s="237" t="s">
        <v>21</v>
      </c>
      <c r="F248" s="237" t="s">
        <v>21</v>
      </c>
      <c r="G248" s="237" t="s">
        <v>21</v>
      </c>
      <c r="H248" s="237" t="s">
        <v>4686</v>
      </c>
      <c r="I248" s="237" t="s">
        <v>4687</v>
      </c>
      <c r="J248" s="237" t="s">
        <v>4688</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4689</v>
      </c>
      <c r="B249" s="237" t="s">
        <v>4690</v>
      </c>
      <c r="C249" s="237" t="s">
        <v>4684</v>
      </c>
      <c r="D249" s="237" t="s">
        <v>4691</v>
      </c>
      <c r="E249" s="237" t="s">
        <v>21</v>
      </c>
      <c r="F249" s="237" t="s">
        <v>21</v>
      </c>
      <c r="G249" s="237" t="s">
        <v>21</v>
      </c>
      <c r="H249" s="237" t="s">
        <v>4686</v>
      </c>
      <c r="I249" s="237" t="s">
        <v>4692</v>
      </c>
      <c r="J249" s="237" t="s">
        <v>4693</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4694</v>
      </c>
      <c r="B250" s="237" t="s">
        <v>4695</v>
      </c>
      <c r="C250" s="237" t="s">
        <v>4696</v>
      </c>
      <c r="D250" s="237" t="s">
        <v>4697</v>
      </c>
      <c r="E250" s="237" t="s">
        <v>21</v>
      </c>
      <c r="F250" s="237" t="s">
        <v>21</v>
      </c>
      <c r="G250" s="237" t="s">
        <v>21</v>
      </c>
      <c r="H250" s="237" t="s">
        <v>4698</v>
      </c>
      <c r="I250" s="237" t="s">
        <v>21</v>
      </c>
      <c r="J250" s="237" t="s">
        <v>4699</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4700</v>
      </c>
      <c r="B251" s="235" t="s">
        <v>4701</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1019</v>
      </c>
      <c r="B252" s="236" t="s">
        <v>4702</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4703</v>
      </c>
      <c r="B253" s="237" t="s">
        <v>4704</v>
      </c>
      <c r="C253" s="237" t="s">
        <v>4705</v>
      </c>
      <c r="D253" s="237" t="s">
        <v>3638</v>
      </c>
      <c r="E253" s="237" t="s">
        <v>3424</v>
      </c>
      <c r="F253" s="237" t="s">
        <v>21</v>
      </c>
      <c r="G253" s="237" t="s">
        <v>21</v>
      </c>
      <c r="H253" s="237" t="s">
        <v>4706</v>
      </c>
      <c r="I253" s="237" t="s">
        <v>21</v>
      </c>
      <c r="J253" s="237" t="s">
        <v>4707</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4708</v>
      </c>
      <c r="B254" s="237" t="s">
        <v>4709</v>
      </c>
      <c r="C254" s="237" t="s">
        <v>3429</v>
      </c>
      <c r="D254" s="237" t="s">
        <v>3430</v>
      </c>
      <c r="E254" s="237" t="s">
        <v>21</v>
      </c>
      <c r="F254" s="237" t="s">
        <v>3432</v>
      </c>
      <c r="G254" s="237" t="s">
        <v>21</v>
      </c>
      <c r="H254" s="237" t="s">
        <v>4710</v>
      </c>
      <c r="I254" s="237" t="s">
        <v>21</v>
      </c>
      <c r="J254" s="237" t="s">
        <v>4711</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1023</v>
      </c>
      <c r="B255" s="236" t="s">
        <v>4712</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4713</v>
      </c>
      <c r="B256" s="237" t="s">
        <v>4714</v>
      </c>
      <c r="C256" s="237" t="s">
        <v>4715</v>
      </c>
      <c r="D256" s="237" t="s">
        <v>4716</v>
      </c>
      <c r="E256" s="237" t="s">
        <v>4717</v>
      </c>
      <c r="F256" s="237" t="s">
        <v>4718</v>
      </c>
      <c r="G256" s="237" t="s">
        <v>21</v>
      </c>
      <c r="H256" s="237" t="s">
        <v>4719</v>
      </c>
      <c r="I256" s="237" t="s">
        <v>21</v>
      </c>
      <c r="J256" s="237" t="s">
        <v>4720</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4721</v>
      </c>
      <c r="B257" s="237" t="s">
        <v>4722</v>
      </c>
      <c r="C257" s="237" t="s">
        <v>4723</v>
      </c>
      <c r="D257" s="237" t="s">
        <v>4724</v>
      </c>
      <c r="E257" s="237" t="s">
        <v>21</v>
      </c>
      <c r="F257" s="237" t="s">
        <v>21</v>
      </c>
      <c r="G257" s="237" t="s">
        <v>21</v>
      </c>
      <c r="H257" s="237" t="s">
        <v>4725</v>
      </c>
      <c r="I257" s="237" t="s">
        <v>21</v>
      </c>
      <c r="J257" s="237" t="s">
        <v>4726</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1028</v>
      </c>
      <c r="B258" s="236" t="s">
        <v>4727</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4728</v>
      </c>
      <c r="B259" s="237" t="s">
        <v>4729</v>
      </c>
      <c r="C259" s="237" t="s">
        <v>4730</v>
      </c>
      <c r="D259" s="237" t="s">
        <v>4731</v>
      </c>
      <c r="E259" s="237" t="s">
        <v>4732</v>
      </c>
      <c r="F259" s="237" t="s">
        <v>21</v>
      </c>
      <c r="G259" s="237" t="s">
        <v>21</v>
      </c>
      <c r="H259" s="237" t="s">
        <v>4733</v>
      </c>
      <c r="I259" s="237" t="s">
        <v>21</v>
      </c>
      <c r="J259" s="237" t="s">
        <v>4734</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4735</v>
      </c>
      <c r="B260" s="237" t="s">
        <v>4736</v>
      </c>
      <c r="C260" s="237" t="s">
        <v>4737</v>
      </c>
      <c r="D260" s="237" t="s">
        <v>21</v>
      </c>
      <c r="E260" s="237" t="s">
        <v>21</v>
      </c>
      <c r="F260" s="237" t="s">
        <v>21</v>
      </c>
      <c r="G260" s="237" t="s">
        <v>21</v>
      </c>
      <c r="H260" s="237" t="s">
        <v>4738</v>
      </c>
      <c r="I260" s="237" t="s">
        <v>4739</v>
      </c>
      <c r="J260" s="237" t="s">
        <v>4740</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4741</v>
      </c>
      <c r="B261" s="237" t="s">
        <v>4742</v>
      </c>
      <c r="C261" s="237" t="s">
        <v>4743</v>
      </c>
      <c r="D261" s="237" t="s">
        <v>4744</v>
      </c>
      <c r="E261" s="237" t="s">
        <v>21</v>
      </c>
      <c r="F261" s="237" t="s">
        <v>21</v>
      </c>
      <c r="G261" s="237" t="s">
        <v>21</v>
      </c>
      <c r="H261" s="237" t="s">
        <v>4745</v>
      </c>
      <c r="I261" s="237" t="s">
        <v>4746</v>
      </c>
      <c r="J261" s="237" t="s">
        <v>4747</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4748</v>
      </c>
      <c r="B262" s="237" t="s">
        <v>4749</v>
      </c>
      <c r="C262" s="237" t="s">
        <v>4750</v>
      </c>
      <c r="D262" s="237" t="s">
        <v>4751</v>
      </c>
      <c r="E262" s="237" t="s">
        <v>21</v>
      </c>
      <c r="F262" s="237" t="s">
        <v>21</v>
      </c>
      <c r="G262" s="237" t="s">
        <v>21</v>
      </c>
      <c r="H262" s="237" t="s">
        <v>4752</v>
      </c>
      <c r="I262" s="237" t="s">
        <v>4753</v>
      </c>
      <c r="J262" s="237" t="s">
        <v>4754</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4755</v>
      </c>
      <c r="B263" s="237" t="s">
        <v>4756</v>
      </c>
      <c r="C263" s="237" t="s">
        <v>4757</v>
      </c>
      <c r="D263" s="237" t="s">
        <v>4758</v>
      </c>
      <c r="E263" s="237" t="s">
        <v>21</v>
      </c>
      <c r="F263" s="237" t="s">
        <v>21</v>
      </c>
      <c r="G263" s="237" t="s">
        <v>4759</v>
      </c>
      <c r="H263" s="237" t="s">
        <v>3662</v>
      </c>
      <c r="I263" s="237" t="s">
        <v>4760</v>
      </c>
      <c r="J263" s="237" t="s">
        <v>4761</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4762</v>
      </c>
      <c r="B264" s="237" t="s">
        <v>4763</v>
      </c>
      <c r="C264" s="237" t="s">
        <v>4750</v>
      </c>
      <c r="D264" s="237" t="s">
        <v>4764</v>
      </c>
      <c r="E264" s="237" t="s">
        <v>21</v>
      </c>
      <c r="F264" s="237" t="s">
        <v>21</v>
      </c>
      <c r="G264" s="237" t="s">
        <v>21</v>
      </c>
      <c r="H264" s="237" t="s">
        <v>4765</v>
      </c>
      <c r="I264" s="237" t="s">
        <v>21</v>
      </c>
      <c r="J264" s="237" t="s">
        <v>4766</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1032</v>
      </c>
      <c r="B265" s="236" t="s">
        <v>4767</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4768</v>
      </c>
      <c r="B266" s="237" t="s">
        <v>4769</v>
      </c>
      <c r="C266" s="237" t="s">
        <v>4770</v>
      </c>
      <c r="D266" s="237" t="s">
        <v>4771</v>
      </c>
      <c r="E266" s="237" t="s">
        <v>4772</v>
      </c>
      <c r="F266" s="237" t="s">
        <v>21</v>
      </c>
      <c r="G266" s="237" t="s">
        <v>4773</v>
      </c>
      <c r="H266" s="237" t="s">
        <v>4774</v>
      </c>
      <c r="I266" s="237" t="s">
        <v>4775</v>
      </c>
      <c r="J266" s="237" t="s">
        <v>4776</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4777</v>
      </c>
      <c r="B267" s="237" t="s">
        <v>4778</v>
      </c>
      <c r="C267" s="237" t="s">
        <v>4779</v>
      </c>
      <c r="D267" s="237" t="s">
        <v>4780</v>
      </c>
      <c r="E267" s="237" t="s">
        <v>21</v>
      </c>
      <c r="F267" s="237" t="s">
        <v>21</v>
      </c>
      <c r="G267" s="237" t="s">
        <v>21</v>
      </c>
      <c r="H267" s="237" t="s">
        <v>4781</v>
      </c>
      <c r="I267" s="237" t="s">
        <v>21</v>
      </c>
      <c r="J267" s="237" t="s">
        <v>4782</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4783</v>
      </c>
      <c r="B268" s="237" t="s">
        <v>4784</v>
      </c>
      <c r="C268" s="237" t="s">
        <v>4785</v>
      </c>
      <c r="D268" s="237" t="s">
        <v>4780</v>
      </c>
      <c r="E268" s="237" t="s">
        <v>21</v>
      </c>
      <c r="F268" s="237" t="s">
        <v>21</v>
      </c>
      <c r="G268" s="237" t="s">
        <v>4786</v>
      </c>
      <c r="H268" s="237" t="s">
        <v>4787</v>
      </c>
      <c r="I268" s="237" t="s">
        <v>21</v>
      </c>
      <c r="J268" s="237" t="s">
        <v>4788</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4789</v>
      </c>
      <c r="B269" s="237" t="s">
        <v>4790</v>
      </c>
      <c r="C269" s="237" t="s">
        <v>4785</v>
      </c>
      <c r="D269" s="237" t="s">
        <v>4791</v>
      </c>
      <c r="E269" s="237" t="s">
        <v>21</v>
      </c>
      <c r="F269" s="237" t="s">
        <v>21</v>
      </c>
      <c r="G269" s="237" t="s">
        <v>21</v>
      </c>
      <c r="H269" s="237" t="s">
        <v>4792</v>
      </c>
      <c r="I269" s="237" t="s">
        <v>21</v>
      </c>
      <c r="J269" s="237" t="s">
        <v>4793</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4794</v>
      </c>
      <c r="B270" s="237" t="s">
        <v>4795</v>
      </c>
      <c r="C270" s="237" t="s">
        <v>4796</v>
      </c>
      <c r="D270" s="237" t="s">
        <v>4797</v>
      </c>
      <c r="E270" s="237" t="s">
        <v>21</v>
      </c>
      <c r="F270" s="237" t="s">
        <v>21</v>
      </c>
      <c r="G270" s="237" t="s">
        <v>21</v>
      </c>
      <c r="H270" s="237" t="s">
        <v>4798</v>
      </c>
      <c r="I270" s="237" t="s">
        <v>21</v>
      </c>
      <c r="J270" s="237" t="s">
        <v>4799</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4800</v>
      </c>
      <c r="B271" s="237" t="s">
        <v>4801</v>
      </c>
      <c r="C271" s="237" t="s">
        <v>4802</v>
      </c>
      <c r="D271" s="237" t="s">
        <v>4803</v>
      </c>
      <c r="E271" s="237" t="s">
        <v>21</v>
      </c>
      <c r="F271" s="237" t="s">
        <v>21</v>
      </c>
      <c r="G271" s="237" t="s">
        <v>21</v>
      </c>
      <c r="H271" s="237" t="s">
        <v>4804</v>
      </c>
      <c r="I271" s="237" t="s">
        <v>4805</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4806</v>
      </c>
      <c r="B272" s="237" t="s">
        <v>4807</v>
      </c>
      <c r="C272" s="237" t="s">
        <v>4808</v>
      </c>
      <c r="D272" s="237" t="s">
        <v>4809</v>
      </c>
      <c r="E272" s="237" t="s">
        <v>21</v>
      </c>
      <c r="F272" s="237" t="s">
        <v>21</v>
      </c>
      <c r="G272" s="237" t="s">
        <v>21</v>
      </c>
      <c r="H272" s="237" t="s">
        <v>4810</v>
      </c>
      <c r="I272" s="237" t="s">
        <v>4811</v>
      </c>
      <c r="J272" s="237" t="s">
        <v>4812</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1036</v>
      </c>
      <c r="B273" s="236" t="s">
        <v>4813</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4814</v>
      </c>
      <c r="B274" s="237" t="s">
        <v>4815</v>
      </c>
      <c r="C274" s="237" t="s">
        <v>4816</v>
      </c>
      <c r="D274" s="237" t="s">
        <v>4809</v>
      </c>
      <c r="E274" s="237" t="s">
        <v>4817</v>
      </c>
      <c r="F274" s="237" t="s">
        <v>21</v>
      </c>
      <c r="G274" s="237" t="s">
        <v>21</v>
      </c>
      <c r="H274" s="237" t="s">
        <v>4818</v>
      </c>
      <c r="I274" s="237" t="s">
        <v>21</v>
      </c>
      <c r="J274" s="237" t="s">
        <v>4819</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4820</v>
      </c>
      <c r="B275" s="237" t="s">
        <v>4821</v>
      </c>
      <c r="C275" s="237" t="s">
        <v>4822</v>
      </c>
      <c r="D275" s="237" t="s">
        <v>4823</v>
      </c>
      <c r="E275" s="237" t="s">
        <v>21</v>
      </c>
      <c r="F275" s="237" t="s">
        <v>21</v>
      </c>
      <c r="G275" s="237" t="s">
        <v>21</v>
      </c>
      <c r="H275" s="237" t="s">
        <v>4824</v>
      </c>
      <c r="I275" s="237" t="s">
        <v>21</v>
      </c>
      <c r="J275" s="237" t="s">
        <v>4825</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4826</v>
      </c>
      <c r="B276" s="237" t="s">
        <v>4827</v>
      </c>
      <c r="C276" s="237" t="s">
        <v>4828</v>
      </c>
      <c r="D276" s="237" t="s">
        <v>4829</v>
      </c>
      <c r="E276" s="237" t="s">
        <v>21</v>
      </c>
      <c r="F276" s="237" t="s">
        <v>4830</v>
      </c>
      <c r="G276" s="237" t="s">
        <v>21</v>
      </c>
      <c r="H276" s="237" t="s">
        <v>4831</v>
      </c>
      <c r="I276" s="237" t="s">
        <v>4832</v>
      </c>
      <c r="J276" s="237" t="s">
        <v>4833</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4834</v>
      </c>
      <c r="B277" s="236" t="s">
        <v>4835</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4836</v>
      </c>
      <c r="B278" s="237" t="s">
        <v>4837</v>
      </c>
      <c r="C278" s="237" t="s">
        <v>4838</v>
      </c>
      <c r="D278" s="237" t="s">
        <v>4839</v>
      </c>
      <c r="E278" s="237" t="s">
        <v>21</v>
      </c>
      <c r="F278" s="237" t="s">
        <v>4840</v>
      </c>
      <c r="G278" s="237" t="s">
        <v>21</v>
      </c>
      <c r="H278" s="237" t="s">
        <v>4841</v>
      </c>
      <c r="I278" s="237" t="s">
        <v>21</v>
      </c>
      <c r="J278" s="237" t="s">
        <v>4842</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4843</v>
      </c>
      <c r="B279" s="235" t="s">
        <v>4844</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1042</v>
      </c>
      <c r="B280" s="236" t="s">
        <v>4845</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4846</v>
      </c>
      <c r="B281" s="237" t="s">
        <v>4847</v>
      </c>
      <c r="C281" s="237" t="s">
        <v>4848</v>
      </c>
      <c r="D281" s="237" t="s">
        <v>4849</v>
      </c>
      <c r="E281" s="237" t="s">
        <v>4850</v>
      </c>
      <c r="F281" s="237" t="s">
        <v>21</v>
      </c>
      <c r="G281" s="237" t="s">
        <v>21</v>
      </c>
      <c r="H281" s="237" t="s">
        <v>4851</v>
      </c>
      <c r="I281" s="237" t="s">
        <v>21</v>
      </c>
      <c r="J281" s="237" t="s">
        <v>4852</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4853</v>
      </c>
      <c r="B282" s="237" t="s">
        <v>4854</v>
      </c>
      <c r="C282" s="237" t="s">
        <v>4855</v>
      </c>
      <c r="D282" s="237" t="s">
        <v>21</v>
      </c>
      <c r="E282" s="237" t="s">
        <v>21</v>
      </c>
      <c r="F282" s="237" t="s">
        <v>21</v>
      </c>
      <c r="G282" s="237" t="s">
        <v>21</v>
      </c>
      <c r="H282" s="237" t="s">
        <v>4856</v>
      </c>
      <c r="I282" s="237" t="s">
        <v>21</v>
      </c>
      <c r="J282" s="237" t="s">
        <v>4857</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4858</v>
      </c>
      <c r="B283" s="237" t="s">
        <v>4859</v>
      </c>
      <c r="C283" s="237" t="s">
        <v>4860</v>
      </c>
      <c r="D283" s="237" t="s">
        <v>21</v>
      </c>
      <c r="E283" s="237" t="s">
        <v>21</v>
      </c>
      <c r="F283" s="237" t="s">
        <v>21</v>
      </c>
      <c r="G283" s="237" t="s">
        <v>21</v>
      </c>
      <c r="H283" s="237" t="s">
        <v>4861</v>
      </c>
      <c r="I283" s="237" t="s">
        <v>21</v>
      </c>
      <c r="J283" s="237" t="s">
        <v>4862</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4863</v>
      </c>
      <c r="B284" s="237" t="s">
        <v>4864</v>
      </c>
      <c r="C284" s="237" t="s">
        <v>4865</v>
      </c>
      <c r="D284" s="237" t="s">
        <v>4866</v>
      </c>
      <c r="E284" s="237" t="s">
        <v>21</v>
      </c>
      <c r="F284" s="237" t="s">
        <v>21</v>
      </c>
      <c r="G284" s="237" t="s">
        <v>21</v>
      </c>
      <c r="H284" s="237" t="s">
        <v>4867</v>
      </c>
      <c r="I284" s="237" t="s">
        <v>21</v>
      </c>
      <c r="J284" s="237" t="s">
        <v>4868</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1046</v>
      </c>
      <c r="B285" s="236" t="s">
        <v>4869</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4870</v>
      </c>
      <c r="B286" s="237" t="s">
        <v>4871</v>
      </c>
      <c r="C286" s="237" t="s">
        <v>4872</v>
      </c>
      <c r="D286" s="237" t="s">
        <v>4873</v>
      </c>
      <c r="E286" s="237" t="s">
        <v>21</v>
      </c>
      <c r="F286" s="237" t="s">
        <v>21</v>
      </c>
      <c r="G286" s="237" t="s">
        <v>21</v>
      </c>
      <c r="H286" s="237" t="s">
        <v>4874</v>
      </c>
      <c r="I286" s="237" t="s">
        <v>4875</v>
      </c>
      <c r="J286" s="237" t="s">
        <v>4876</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1050</v>
      </c>
      <c r="B287" s="236" t="s">
        <v>4877</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4878</v>
      </c>
      <c r="B288" s="237" t="s">
        <v>4879</v>
      </c>
      <c r="C288" s="237" t="s">
        <v>4880</v>
      </c>
      <c r="D288" s="237" t="s">
        <v>4881</v>
      </c>
      <c r="E288" s="237" t="s">
        <v>4882</v>
      </c>
      <c r="F288" s="237" t="s">
        <v>4883</v>
      </c>
      <c r="G288" s="237" t="s">
        <v>4884</v>
      </c>
      <c r="H288" s="237" t="s">
        <v>4885</v>
      </c>
      <c r="I288" s="237" t="s">
        <v>3866</v>
      </c>
      <c r="J288" s="237" t="s">
        <v>4886</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4887</v>
      </c>
      <c r="B289" s="237" t="s">
        <v>4888</v>
      </c>
      <c r="C289" s="237" t="s">
        <v>4889</v>
      </c>
      <c r="D289" s="237" t="s">
        <v>21</v>
      </c>
      <c r="E289" s="237" t="s">
        <v>4882</v>
      </c>
      <c r="F289" s="237" t="s">
        <v>21</v>
      </c>
      <c r="G289" s="237" t="s">
        <v>4890</v>
      </c>
      <c r="H289" s="237" t="s">
        <v>4891</v>
      </c>
      <c r="I289" s="237" t="s">
        <v>4892</v>
      </c>
      <c r="J289" s="237" t="s">
        <v>4893</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4894</v>
      </c>
      <c r="B290" s="237" t="s">
        <v>4895</v>
      </c>
      <c r="C290" s="237" t="s">
        <v>4896</v>
      </c>
      <c r="D290" s="237" t="s">
        <v>21</v>
      </c>
      <c r="E290" s="237" t="s">
        <v>4897</v>
      </c>
      <c r="F290" s="237" t="s">
        <v>21</v>
      </c>
      <c r="G290" s="237" t="s">
        <v>4898</v>
      </c>
      <c r="H290" s="237" t="s">
        <v>4899</v>
      </c>
      <c r="I290" s="237" t="s">
        <v>4900</v>
      </c>
      <c r="J290" s="237" t="s">
        <v>4901</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4902</v>
      </c>
      <c r="B291" s="237" t="s">
        <v>4903</v>
      </c>
      <c r="C291" s="237" t="s">
        <v>4904</v>
      </c>
      <c r="D291" s="237" t="s">
        <v>21</v>
      </c>
      <c r="E291" s="237" t="s">
        <v>21</v>
      </c>
      <c r="F291" s="237" t="s">
        <v>21</v>
      </c>
      <c r="G291" s="237" t="s">
        <v>21</v>
      </c>
      <c r="H291" s="237" t="s">
        <v>4905</v>
      </c>
      <c r="I291" s="237" t="s">
        <v>3866</v>
      </c>
      <c r="J291" s="237" t="s">
        <v>4906</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1054</v>
      </c>
      <c r="B292" s="236" t="s">
        <v>4907</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4908</v>
      </c>
      <c r="B293" s="237" t="s">
        <v>4909</v>
      </c>
      <c r="C293" s="237" t="s">
        <v>4910</v>
      </c>
      <c r="D293" s="237" t="s">
        <v>4911</v>
      </c>
      <c r="E293" s="237" t="s">
        <v>21</v>
      </c>
      <c r="F293" s="237" t="s">
        <v>21</v>
      </c>
      <c r="G293" s="237" t="s">
        <v>21</v>
      </c>
      <c r="H293" s="237" t="s">
        <v>4912</v>
      </c>
      <c r="I293" s="237" t="s">
        <v>4913</v>
      </c>
      <c r="J293" s="237" t="s">
        <v>4914</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4915</v>
      </c>
      <c r="B294" s="237" t="s">
        <v>4916</v>
      </c>
      <c r="C294" s="237" t="s">
        <v>4917</v>
      </c>
      <c r="D294" s="237" t="s">
        <v>4911</v>
      </c>
      <c r="E294" s="237" t="s">
        <v>21</v>
      </c>
      <c r="F294" s="237" t="s">
        <v>4918</v>
      </c>
      <c r="G294" s="237" t="s">
        <v>21</v>
      </c>
      <c r="H294" s="237" t="s">
        <v>4919</v>
      </c>
      <c r="I294" s="237" t="s">
        <v>3836</v>
      </c>
      <c r="J294" s="237" t="s">
        <v>4920</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4921</v>
      </c>
      <c r="B295" s="237" t="s">
        <v>4922</v>
      </c>
      <c r="C295" s="237" t="s">
        <v>4923</v>
      </c>
      <c r="D295" s="237" t="s">
        <v>4924</v>
      </c>
      <c r="E295" s="237" t="s">
        <v>21</v>
      </c>
      <c r="F295" s="237" t="s">
        <v>21</v>
      </c>
      <c r="G295" s="237" t="s">
        <v>21</v>
      </c>
      <c r="H295" s="237" t="s">
        <v>4925</v>
      </c>
      <c r="I295" s="237" t="s">
        <v>3836</v>
      </c>
      <c r="J295" s="237" t="s">
        <v>4926</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1058</v>
      </c>
      <c r="B296" s="236" t="s">
        <v>4927</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4928</v>
      </c>
      <c r="B297" s="237" t="s">
        <v>4929</v>
      </c>
      <c r="C297" s="237" t="s">
        <v>4930</v>
      </c>
      <c r="D297" s="237" t="s">
        <v>4924</v>
      </c>
      <c r="E297" s="237" t="s">
        <v>21</v>
      </c>
      <c r="F297" s="237" t="s">
        <v>4931</v>
      </c>
      <c r="G297" s="237" t="s">
        <v>21</v>
      </c>
      <c r="H297" s="237" t="s">
        <v>4932</v>
      </c>
      <c r="I297" s="237" t="s">
        <v>21</v>
      </c>
      <c r="J297" s="237" t="s">
        <v>4933</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4934</v>
      </c>
      <c r="B298" s="237" t="s">
        <v>4935</v>
      </c>
      <c r="C298" s="237" t="s">
        <v>4936</v>
      </c>
      <c r="D298" s="237" t="s">
        <v>4937</v>
      </c>
      <c r="E298" s="237" t="s">
        <v>21</v>
      </c>
      <c r="F298" s="237" t="s">
        <v>21</v>
      </c>
      <c r="G298" s="237" t="s">
        <v>4938</v>
      </c>
      <c r="H298" s="237" t="s">
        <v>4939</v>
      </c>
      <c r="I298" s="237" t="s">
        <v>4939</v>
      </c>
      <c r="J298" s="237" t="s">
        <v>4940</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4941</v>
      </c>
      <c r="B299" s="237" t="s">
        <v>4942</v>
      </c>
      <c r="C299" s="237" t="s">
        <v>4943</v>
      </c>
      <c r="D299" s="237" t="s">
        <v>21</v>
      </c>
      <c r="E299" s="237" t="s">
        <v>21</v>
      </c>
      <c r="F299" s="237" t="s">
        <v>21</v>
      </c>
      <c r="G299" s="237" t="s">
        <v>21</v>
      </c>
      <c r="H299" s="237" t="s">
        <v>4944</v>
      </c>
      <c r="I299" s="237" t="s">
        <v>4945</v>
      </c>
      <c r="J299" s="237" t="s">
        <v>4946</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4947</v>
      </c>
      <c r="B300" s="237" t="s">
        <v>4948</v>
      </c>
      <c r="C300" s="237" t="s">
        <v>4949</v>
      </c>
      <c r="D300" s="237" t="s">
        <v>21</v>
      </c>
      <c r="E300" s="237" t="s">
        <v>21</v>
      </c>
      <c r="F300" s="237" t="s">
        <v>4950</v>
      </c>
      <c r="G300" s="237" t="s">
        <v>21</v>
      </c>
      <c r="H300" s="237" t="s">
        <v>4951</v>
      </c>
      <c r="I300" s="237" t="s">
        <v>4945</v>
      </c>
      <c r="J300" s="237" t="s">
        <v>4952</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1062</v>
      </c>
      <c r="B301" s="236" t="s">
        <v>4953</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4954</v>
      </c>
      <c r="B302" s="237" t="s">
        <v>4955</v>
      </c>
      <c r="C302" s="237" t="s">
        <v>4956</v>
      </c>
      <c r="D302" s="237" t="s">
        <v>21</v>
      </c>
      <c r="E302" s="237" t="s">
        <v>21</v>
      </c>
      <c r="F302" s="237" t="s">
        <v>21</v>
      </c>
      <c r="G302" s="237" t="s">
        <v>21</v>
      </c>
      <c r="H302" s="237" t="s">
        <v>4957</v>
      </c>
      <c r="I302" s="237" t="s">
        <v>21</v>
      </c>
      <c r="J302" s="237" t="s">
        <v>4958</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4959</v>
      </c>
      <c r="B303" s="237" t="s">
        <v>4960</v>
      </c>
      <c r="C303" s="237" t="s">
        <v>4961</v>
      </c>
      <c r="D303" s="237" t="s">
        <v>4962</v>
      </c>
      <c r="E303" s="237" t="s">
        <v>21</v>
      </c>
      <c r="F303" s="237" t="s">
        <v>21</v>
      </c>
      <c r="G303" s="237" t="s">
        <v>21</v>
      </c>
      <c r="H303" s="237" t="s">
        <v>4963</v>
      </c>
      <c r="I303" s="237" t="s">
        <v>3866</v>
      </c>
      <c r="J303" s="237" t="s">
        <v>4964</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4965</v>
      </c>
      <c r="B304" s="237" t="s">
        <v>4966</v>
      </c>
      <c r="C304" s="237" t="s">
        <v>4967</v>
      </c>
      <c r="D304" s="237" t="s">
        <v>4962</v>
      </c>
      <c r="E304" s="237" t="s">
        <v>21</v>
      </c>
      <c r="F304" s="237" t="s">
        <v>4968</v>
      </c>
      <c r="G304" s="237" t="s">
        <v>21</v>
      </c>
      <c r="H304" s="237" t="s">
        <v>4969</v>
      </c>
      <c r="I304" s="237" t="s">
        <v>21</v>
      </c>
      <c r="J304" s="237" t="s">
        <v>4970</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4971</v>
      </c>
      <c r="B305" s="237" t="s">
        <v>4972</v>
      </c>
      <c r="C305" s="237" t="s">
        <v>4973</v>
      </c>
      <c r="D305" s="237" t="s">
        <v>4974</v>
      </c>
      <c r="E305" s="237" t="s">
        <v>21</v>
      </c>
      <c r="F305" s="237" t="s">
        <v>21</v>
      </c>
      <c r="G305" s="237" t="s">
        <v>21</v>
      </c>
      <c r="H305" s="237" t="s">
        <v>4975</v>
      </c>
      <c r="I305" s="237" t="s">
        <v>4976</v>
      </c>
      <c r="J305" s="237" t="s">
        <v>4977</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4978</v>
      </c>
      <c r="B306" s="237" t="s">
        <v>4979</v>
      </c>
      <c r="C306" s="237" t="s">
        <v>4980</v>
      </c>
      <c r="D306" s="237" t="s">
        <v>4981</v>
      </c>
      <c r="E306" s="237" t="s">
        <v>21</v>
      </c>
      <c r="F306" s="237" t="s">
        <v>21</v>
      </c>
      <c r="G306" s="237" t="s">
        <v>21</v>
      </c>
      <c r="H306" s="237" t="s">
        <v>4982</v>
      </c>
      <c r="I306" s="237" t="s">
        <v>3866</v>
      </c>
      <c r="J306" s="237" t="s">
        <v>4983</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1066</v>
      </c>
      <c r="B307" s="236" t="s">
        <v>4984</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4985</v>
      </c>
      <c r="B308" s="237" t="s">
        <v>4986</v>
      </c>
      <c r="C308" s="237" t="s">
        <v>4987</v>
      </c>
      <c r="D308" s="237" t="s">
        <v>4981</v>
      </c>
      <c r="E308" s="237" t="s">
        <v>21</v>
      </c>
      <c r="F308" s="237" t="s">
        <v>4988</v>
      </c>
      <c r="G308" s="237" t="s">
        <v>21</v>
      </c>
      <c r="H308" s="237" t="s">
        <v>4989</v>
      </c>
      <c r="I308" s="237" t="s">
        <v>4990</v>
      </c>
      <c r="J308" s="237" t="s">
        <v>4991</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1070</v>
      </c>
      <c r="B309" s="236" t="s">
        <v>4992</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4993</v>
      </c>
      <c r="B310" s="237" t="s">
        <v>4994</v>
      </c>
      <c r="C310" s="237" t="s">
        <v>4995</v>
      </c>
      <c r="D310" s="237" t="s">
        <v>21</v>
      </c>
      <c r="E310" s="237" t="s">
        <v>21</v>
      </c>
      <c r="F310" s="237" t="s">
        <v>4996</v>
      </c>
      <c r="G310" s="237" t="s">
        <v>21</v>
      </c>
      <c r="H310" s="237" t="s">
        <v>4997</v>
      </c>
      <c r="I310" s="237" t="s">
        <v>4998</v>
      </c>
      <c r="J310" s="237" t="s">
        <v>4999</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5000</v>
      </c>
      <c r="B311" s="237" t="s">
        <v>5001</v>
      </c>
      <c r="C311" s="237" t="s">
        <v>5002</v>
      </c>
      <c r="D311" s="237" t="s">
        <v>5003</v>
      </c>
      <c r="E311" s="237" t="s">
        <v>21</v>
      </c>
      <c r="F311" s="237" t="s">
        <v>21</v>
      </c>
      <c r="G311" s="237" t="s">
        <v>5004</v>
      </c>
      <c r="H311" s="237" t="s">
        <v>5005</v>
      </c>
      <c r="I311" s="237" t="s">
        <v>21</v>
      </c>
      <c r="J311" s="237" t="s">
        <v>5006</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5007</v>
      </c>
      <c r="B312" s="237" t="s">
        <v>5008</v>
      </c>
      <c r="C312" s="237" t="s">
        <v>5009</v>
      </c>
      <c r="D312" s="237" t="s">
        <v>5010</v>
      </c>
      <c r="E312" s="237" t="s">
        <v>21</v>
      </c>
      <c r="F312" s="237" t="s">
        <v>21</v>
      </c>
      <c r="G312" s="237" t="s">
        <v>21</v>
      </c>
      <c r="H312" s="237" t="s">
        <v>5011</v>
      </c>
      <c r="I312" s="237" t="s">
        <v>21</v>
      </c>
      <c r="J312" s="237" t="s">
        <v>5012</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5013</v>
      </c>
      <c r="B313" s="237" t="s">
        <v>5014</v>
      </c>
      <c r="C313" s="237" t="s">
        <v>5015</v>
      </c>
      <c r="D313" s="237" t="s">
        <v>5016</v>
      </c>
      <c r="E313" s="237" t="s">
        <v>21</v>
      </c>
      <c r="F313" s="237" t="s">
        <v>21</v>
      </c>
      <c r="G313" s="237" t="s">
        <v>5017</v>
      </c>
      <c r="H313" s="237" t="s">
        <v>5018</v>
      </c>
      <c r="I313" s="237" t="s">
        <v>5019</v>
      </c>
      <c r="J313" s="237" t="s">
        <v>5020</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5021</v>
      </c>
      <c r="B314" s="237" t="s">
        <v>5022</v>
      </c>
      <c r="C314" s="237" t="s">
        <v>5023</v>
      </c>
      <c r="D314" s="237" t="s">
        <v>5024</v>
      </c>
      <c r="E314" s="237" t="s">
        <v>21</v>
      </c>
      <c r="F314" s="237" t="s">
        <v>21</v>
      </c>
      <c r="G314" s="237" t="s">
        <v>5025</v>
      </c>
      <c r="H314" s="237" t="s">
        <v>5026</v>
      </c>
      <c r="I314" s="237" t="s">
        <v>5027</v>
      </c>
      <c r="J314" s="237" t="s">
        <v>5028</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5029</v>
      </c>
      <c r="B315" s="236" t="s">
        <v>5030</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5031</v>
      </c>
      <c r="B316" s="237" t="s">
        <v>5032</v>
      </c>
      <c r="C316" s="237" t="s">
        <v>5033</v>
      </c>
      <c r="D316" s="237" t="s">
        <v>21</v>
      </c>
      <c r="E316" s="237" t="s">
        <v>21</v>
      </c>
      <c r="F316" s="237" t="s">
        <v>21</v>
      </c>
      <c r="G316" s="237" t="s">
        <v>21</v>
      </c>
      <c r="H316" s="237" t="s">
        <v>5034</v>
      </c>
      <c r="I316" s="237" t="s">
        <v>5035</v>
      </c>
      <c r="J316" s="237" t="s">
        <v>5036</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5037</v>
      </c>
      <c r="B317" s="237" t="s">
        <v>5038</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5039</v>
      </c>
      <c r="B318" s="236" t="s">
        <v>5040</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5041</v>
      </c>
      <c r="B319" s="237" t="s">
        <v>5042</v>
      </c>
      <c r="C319" s="237" t="s">
        <v>5043</v>
      </c>
      <c r="D319" s="237" t="s">
        <v>5044</v>
      </c>
      <c r="E319" s="237" t="s">
        <v>21</v>
      </c>
      <c r="F319" s="237" t="s">
        <v>5045</v>
      </c>
      <c r="G319" s="237" t="s">
        <v>5046</v>
      </c>
      <c r="H319" s="237" t="s">
        <v>5047</v>
      </c>
      <c r="I319" s="237" t="s">
        <v>21</v>
      </c>
      <c r="J319" s="237" t="s">
        <v>5048</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5049</v>
      </c>
      <c r="B320" s="237" t="s">
        <v>5050</v>
      </c>
      <c r="C320" s="237" t="s">
        <v>5051</v>
      </c>
      <c r="D320" s="237" t="s">
        <v>5052</v>
      </c>
      <c r="E320" s="237" t="s">
        <v>21</v>
      </c>
      <c r="F320" s="237" t="s">
        <v>21</v>
      </c>
      <c r="G320" s="237" t="s">
        <v>21</v>
      </c>
      <c r="H320" s="237" t="s">
        <v>5053</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5054</v>
      </c>
      <c r="B321" s="237" t="s">
        <v>5055</v>
      </c>
      <c r="C321" s="237" t="s">
        <v>5056</v>
      </c>
      <c r="D321" s="237" t="s">
        <v>5057</v>
      </c>
      <c r="E321" s="237" t="s">
        <v>21</v>
      </c>
      <c r="F321" s="237" t="s">
        <v>21</v>
      </c>
      <c r="G321" s="237" t="s">
        <v>21</v>
      </c>
      <c r="H321" s="237" t="s">
        <v>5058</v>
      </c>
      <c r="I321" s="237" t="s">
        <v>21</v>
      </c>
      <c r="J321" s="237" t="s">
        <v>5059</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5060</v>
      </c>
      <c r="B322" s="237" t="s">
        <v>5061</v>
      </c>
      <c r="C322" s="237" t="s">
        <v>5062</v>
      </c>
      <c r="D322" s="237" t="s">
        <v>5063</v>
      </c>
      <c r="E322" s="237" t="s">
        <v>21</v>
      </c>
      <c r="F322" s="237" t="s">
        <v>21</v>
      </c>
      <c r="G322" s="237" t="s">
        <v>21</v>
      </c>
      <c r="H322" s="237" t="s">
        <v>5064</v>
      </c>
      <c r="I322" s="237" t="s">
        <v>21</v>
      </c>
      <c r="J322" s="237" t="s">
        <v>5065</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5066</v>
      </c>
      <c r="B323" s="237" t="s">
        <v>5067</v>
      </c>
      <c r="C323" s="237" t="s">
        <v>5068</v>
      </c>
      <c r="D323" s="237" t="s">
        <v>21</v>
      </c>
      <c r="E323" s="237" t="s">
        <v>21</v>
      </c>
      <c r="F323" s="237" t="s">
        <v>21</v>
      </c>
      <c r="G323" s="237" t="s">
        <v>21</v>
      </c>
      <c r="H323" s="237" t="s">
        <v>5069</v>
      </c>
      <c r="I323" s="237" t="s">
        <v>3866</v>
      </c>
      <c r="J323" s="237" t="s">
        <v>5070</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5071</v>
      </c>
      <c r="B324" s="237" t="s">
        <v>5072</v>
      </c>
      <c r="C324" s="237" t="s">
        <v>5073</v>
      </c>
      <c r="D324" s="237" t="s">
        <v>21</v>
      </c>
      <c r="E324" s="237" t="s">
        <v>21</v>
      </c>
      <c r="F324" s="237" t="s">
        <v>21</v>
      </c>
      <c r="G324" s="237" t="s">
        <v>21</v>
      </c>
      <c r="H324" s="237" t="s">
        <v>5074</v>
      </c>
      <c r="I324" s="237" t="s">
        <v>5075</v>
      </c>
      <c r="J324" s="237" t="s">
        <v>5076</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5077</v>
      </c>
      <c r="B325" s="237" t="s">
        <v>5078</v>
      </c>
      <c r="C325" s="237" t="s">
        <v>5079</v>
      </c>
      <c r="D325" s="237" t="s">
        <v>5080</v>
      </c>
      <c r="E325" s="237" t="s">
        <v>21</v>
      </c>
      <c r="F325" s="237" t="s">
        <v>21</v>
      </c>
      <c r="G325" s="237" t="s">
        <v>21</v>
      </c>
      <c r="H325" s="237" t="s">
        <v>5081</v>
      </c>
      <c r="I325" s="237" t="s">
        <v>21</v>
      </c>
      <c r="J325" s="237" t="s">
        <v>5082</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5083</v>
      </c>
      <c r="B326" s="244" t="s">
        <v>5084</v>
      </c>
      <c r="C326" s="244" t="s">
        <v>5085</v>
      </c>
      <c r="D326" s="244" t="s">
        <v>5086</v>
      </c>
      <c r="E326" s="244" t="s">
        <v>21</v>
      </c>
      <c r="F326" s="244" t="s">
        <v>21</v>
      </c>
      <c r="G326" s="244" t="s">
        <v>21</v>
      </c>
      <c r="H326" s="244" t="s">
        <v>5087</v>
      </c>
      <c r="I326" s="244" t="s">
        <v>3866</v>
      </c>
      <c r="J326" s="244" t="s">
        <v>5088</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351</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IFERROR(INDEX('Recommendations'!$H$2:$H$69, MATCH(L2,'Recommendations'!$A$2:$A$69,0))="Implemented", FALSE))</xm:f>
            <x14:dxf>
              <font>
                <color rgb="FF000000"/>
              </font>
              <fill>
                <patternFill>
                  <bgColor rgb="FF3C7D22"/>
                </patternFill>
              </fill>
            </x14:dxf>
          </x14:cfRule>
          <x14:cfRule type="expression" priority="2" id="{00000000-000E-0000-0A00-000002000000}">
            <xm:f>AND(L2&lt;&gt;"", IFERROR(INDEX('Recommendations'!$H$2:$H$69, MATCH(L2,'Recommendations'!$A$2:$A$69,0))="Compensated", FALSE))</xm:f>
            <x14:dxf>
              <font>
                <color rgb="FF000000"/>
              </font>
              <fill>
                <patternFill>
                  <bgColor rgb="FFC6E0B4"/>
                </patternFill>
              </fill>
            </x14:dxf>
          </x14:cfRule>
          <x14:cfRule type="expression" priority="3" id="{00000000-000E-0000-0A00-000003000000}">
            <xm:f>AND(L2&lt;&gt;"", IFERROR(INDEX('Recommendations'!$H$2:$H$69, MATCH(L2,'Recommendations'!$A$2:$A$69,0))="Testing", FALSE))</xm:f>
            <x14:dxf>
              <font>
                <color rgb="FF000000"/>
              </font>
              <fill>
                <patternFill>
                  <bgColor rgb="FFFFC000"/>
                </patternFill>
              </fill>
            </x14:dxf>
          </x14:cfRule>
          <x14:cfRule type="expression" priority="4" id="{00000000-000E-0000-0A00-000004000000}">
            <xm:f>AND(L2&lt;&gt;"", IFERROR(INDEX('Recommendations'!$H$2:$H$69, MATCH(L2,'Recommendations'!$A$2:$A$69,0))="Failed", FALSE))</xm:f>
            <x14:dxf>
              <font>
                <color rgb="FF000000"/>
              </font>
              <fill>
                <patternFill>
                  <bgColor rgb="FFD82891"/>
                </patternFill>
              </fill>
            </x14:dxf>
          </x14:cfRule>
          <x14:cfRule type="expression" priority="5" id="{00000000-000E-0000-0A00-000005000000}">
            <xm:f>AND(L2&lt;&gt;"", IFERROR(INDEX('Recommendations'!$H$2:$H$69, MATCH(L2,'Recommendations'!$A$2:$A$69,0))="Risk Accepted", FALSE))</xm:f>
            <x14:dxf>
              <font>
                <color rgb="FF000000"/>
              </font>
              <fill>
                <patternFill>
                  <bgColor rgb="FFD9D9D9"/>
                </patternFill>
              </fill>
            </x14:dxf>
          </x14:cfRule>
          <x14:cfRule type="expression" priority="6" id="{00000000-000E-0000-0A00-000006000000}">
            <xm:f>AND(L2&lt;&gt;"", IFERROR(INDEX('Recommendations'!$H$2:$H$69, MATCH(L2,'Recommendations'!$A$2:$A$69,0))="N/A",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2237</v>
      </c>
      <c r="B1" s="289" t="s">
        <v>3122</v>
      </c>
      <c r="C1" s="289" t="s">
        <v>0</v>
      </c>
      <c r="D1" s="289" t="s">
        <v>600</v>
      </c>
      <c r="E1" s="289" t="s">
        <v>5089</v>
      </c>
      <c r="F1" s="289" t="s">
        <v>5090</v>
      </c>
      <c r="G1" s="289" t="s">
        <v>605</v>
      </c>
      <c r="H1" s="289" t="s">
        <v>606</v>
      </c>
      <c r="I1" s="289" t="s">
        <v>607</v>
      </c>
      <c r="J1" s="289" t="s">
        <v>608</v>
      </c>
      <c r="K1" s="289" t="s">
        <v>609</v>
      </c>
      <c r="L1" s="289" t="s">
        <v>610</v>
      </c>
      <c r="M1" s="289" t="s">
        <v>611</v>
      </c>
      <c r="N1" s="289" t="s">
        <v>612</v>
      </c>
      <c r="O1" s="289" t="s">
        <v>613</v>
      </c>
      <c r="P1" s="289" t="s">
        <v>614</v>
      </c>
      <c r="Q1" s="289" t="s">
        <v>615</v>
      </c>
      <c r="R1" s="289" t="s">
        <v>616</v>
      </c>
      <c r="S1" s="289" t="s">
        <v>617</v>
      </c>
      <c r="T1" s="289" t="s">
        <v>618</v>
      </c>
      <c r="U1" s="289" t="s">
        <v>619</v>
      </c>
      <c r="V1" s="289" t="s">
        <v>620</v>
      </c>
      <c r="W1" s="289" t="s">
        <v>621</v>
      </c>
      <c r="X1" s="289" t="s">
        <v>622</v>
      </c>
      <c r="Y1" s="289" t="s">
        <v>623</v>
      </c>
      <c r="Z1" s="289" t="s">
        <v>624</v>
      </c>
      <c r="AA1" s="289" t="s">
        <v>625</v>
      </c>
      <c r="AB1" s="289" t="s">
        <v>626</v>
      </c>
      <c r="AC1" s="289" t="s">
        <v>627</v>
      </c>
      <c r="AD1" s="289" t="s">
        <v>628</v>
      </c>
      <c r="AE1" s="289" t="s">
        <v>629</v>
      </c>
      <c r="AF1" s="289" t="s">
        <v>630</v>
      </c>
      <c r="AG1" s="289" t="s">
        <v>631</v>
      </c>
      <c r="AH1" s="289" t="s">
        <v>632</v>
      </c>
      <c r="AI1" s="289" t="s">
        <v>633</v>
      </c>
      <c r="AJ1" s="289" t="s">
        <v>634</v>
      </c>
      <c r="AK1" s="289" t="s">
        <v>635</v>
      </c>
      <c r="AL1" s="289" t="s">
        <v>636</v>
      </c>
      <c r="AM1" s="289" t="s">
        <v>637</v>
      </c>
      <c r="AN1" s="289" t="s">
        <v>638</v>
      </c>
      <c r="AO1" s="289" t="s">
        <v>639</v>
      </c>
      <c r="AP1" s="289" t="s">
        <v>640</v>
      </c>
      <c r="AQ1" s="289" t="s">
        <v>641</v>
      </c>
      <c r="AR1" s="289" t="s">
        <v>642</v>
      </c>
      <c r="AS1" s="289" t="s">
        <v>643</v>
      </c>
      <c r="AT1" s="289" t="s">
        <v>644</v>
      </c>
      <c r="AU1" s="290" t="s">
        <v>645</v>
      </c>
    </row>
    <row r="2" spans="1:47" ht="60" customHeight="1" outlineLevel="1" x14ac:dyDescent="0.35">
      <c r="A2" s="280" t="s">
        <v>5091</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5091</v>
      </c>
      <c r="B3" s="259" t="s">
        <v>5092</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5091</v>
      </c>
      <c r="B4" s="260" t="s">
        <v>5092</v>
      </c>
      <c r="C4" s="261" t="s">
        <v>5093</v>
      </c>
      <c r="D4" s="264" t="s">
        <v>5094</v>
      </c>
      <c r="E4" s="265" t="s">
        <v>5095</v>
      </c>
      <c r="F4" s="268" t="s">
        <v>5096</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5091</v>
      </c>
      <c r="B5" s="260" t="s">
        <v>5092</v>
      </c>
      <c r="C5" s="261" t="s">
        <v>5097</v>
      </c>
      <c r="D5" s="264" t="s">
        <v>5098</v>
      </c>
      <c r="E5" s="265" t="s">
        <v>5095</v>
      </c>
      <c r="F5" s="268" t="s">
        <v>5096</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5091</v>
      </c>
      <c r="B6" s="260" t="s">
        <v>5092</v>
      </c>
      <c r="C6" s="261" t="s">
        <v>5099</v>
      </c>
      <c r="D6" s="264" t="s">
        <v>5100</v>
      </c>
      <c r="E6" s="265" t="s">
        <v>5095</v>
      </c>
      <c r="F6" s="268" t="s">
        <v>5096</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5091</v>
      </c>
      <c r="B7" s="260" t="s">
        <v>5092</v>
      </c>
      <c r="C7" s="261" t="s">
        <v>5101</v>
      </c>
      <c r="D7" s="264" t="s">
        <v>5102</v>
      </c>
      <c r="E7" s="265" t="s">
        <v>5095</v>
      </c>
      <c r="F7" s="268" t="s">
        <v>5096</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5091</v>
      </c>
      <c r="B8" s="260" t="s">
        <v>5092</v>
      </c>
      <c r="C8" s="261" t="s">
        <v>5103</v>
      </c>
      <c r="D8" s="264" t="s">
        <v>5104</v>
      </c>
      <c r="E8" s="265" t="s">
        <v>5095</v>
      </c>
      <c r="F8" s="268" t="s">
        <v>5096</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5091</v>
      </c>
      <c r="B9" s="260" t="s">
        <v>5092</v>
      </c>
      <c r="C9" s="261" t="s">
        <v>5105</v>
      </c>
      <c r="D9" s="264" t="s">
        <v>5106</v>
      </c>
      <c r="E9" s="265" t="s">
        <v>5095</v>
      </c>
      <c r="F9" s="268" t="s">
        <v>5096</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5091</v>
      </c>
      <c r="B10" s="260" t="s">
        <v>5092</v>
      </c>
      <c r="C10" s="261" t="s">
        <v>5107</v>
      </c>
      <c r="D10" s="264" t="s">
        <v>5108</v>
      </c>
      <c r="E10" s="265" t="s">
        <v>5095</v>
      </c>
      <c r="F10" s="268" t="s">
        <v>5096</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5091</v>
      </c>
      <c r="B11" s="260" t="s">
        <v>5092</v>
      </c>
      <c r="C11" s="261" t="s">
        <v>5109</v>
      </c>
      <c r="D11" s="264" t="s">
        <v>5110</v>
      </c>
      <c r="E11" s="265" t="s">
        <v>5095</v>
      </c>
      <c r="F11" s="268" t="s">
        <v>5096</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5091</v>
      </c>
      <c r="B12" s="260" t="s">
        <v>5092</v>
      </c>
      <c r="C12" s="261" t="s">
        <v>5111</v>
      </c>
      <c r="D12" s="264" t="s">
        <v>5112</v>
      </c>
      <c r="E12" s="265" t="s">
        <v>5095</v>
      </c>
      <c r="F12" s="268" t="s">
        <v>5096</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5091</v>
      </c>
      <c r="B13" s="260" t="s">
        <v>5092</v>
      </c>
      <c r="C13" s="261" t="s">
        <v>5113</v>
      </c>
      <c r="D13" s="264" t="s">
        <v>5114</v>
      </c>
      <c r="E13" s="265" t="s">
        <v>5095</v>
      </c>
      <c r="F13" s="268" t="s">
        <v>5096</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5091</v>
      </c>
      <c r="B14" s="260" t="s">
        <v>5092</v>
      </c>
      <c r="C14" s="261" t="s">
        <v>5115</v>
      </c>
      <c r="D14" s="264" t="s">
        <v>5116</v>
      </c>
      <c r="E14" s="265" t="s">
        <v>5095</v>
      </c>
      <c r="F14" s="268" t="s">
        <v>5096</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5091</v>
      </c>
      <c r="B15" s="260" t="s">
        <v>5092</v>
      </c>
      <c r="C15" s="261" t="s">
        <v>5117</v>
      </c>
      <c r="D15" s="264" t="s">
        <v>5118</v>
      </c>
      <c r="E15" s="265" t="s">
        <v>5095</v>
      </c>
      <c r="F15" s="268" t="s">
        <v>5096</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5091</v>
      </c>
      <c r="B16" s="260" t="s">
        <v>5092</v>
      </c>
      <c r="C16" s="261" t="s">
        <v>5119</v>
      </c>
      <c r="D16" s="264" t="s">
        <v>5120</v>
      </c>
      <c r="E16" s="265" t="s">
        <v>5095</v>
      </c>
      <c r="F16" s="268" t="s">
        <v>5096</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5091</v>
      </c>
      <c r="B17" s="259" t="s">
        <v>5121</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5091</v>
      </c>
      <c r="B18" s="260" t="s">
        <v>5121</v>
      </c>
      <c r="C18" s="261" t="s">
        <v>5122</v>
      </c>
      <c r="D18" s="264" t="s">
        <v>5123</v>
      </c>
      <c r="E18" s="265" t="s">
        <v>5124</v>
      </c>
      <c r="F18" s="268" t="s">
        <v>5125</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5091</v>
      </c>
      <c r="B19" s="260" t="s">
        <v>5121</v>
      </c>
      <c r="C19" s="261" t="s">
        <v>5126</v>
      </c>
      <c r="D19" s="264" t="s">
        <v>5127</v>
      </c>
      <c r="E19" s="265" t="s">
        <v>5124</v>
      </c>
      <c r="F19" s="268" t="s">
        <v>5125</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5091</v>
      </c>
      <c r="B20" s="260" t="s">
        <v>5121</v>
      </c>
      <c r="C20" s="261" t="s">
        <v>5128</v>
      </c>
      <c r="D20" s="264" t="s">
        <v>5129</v>
      </c>
      <c r="E20" s="265" t="s">
        <v>5124</v>
      </c>
      <c r="F20" s="268" t="s">
        <v>5125</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5091</v>
      </c>
      <c r="B21" s="260" t="s">
        <v>5121</v>
      </c>
      <c r="C21" s="261" t="s">
        <v>5130</v>
      </c>
      <c r="D21" s="264" t="s">
        <v>5131</v>
      </c>
      <c r="E21" s="265" t="s">
        <v>5124</v>
      </c>
      <c r="F21" s="268" t="s">
        <v>5125</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5091</v>
      </c>
      <c r="B22" s="260" t="s">
        <v>5121</v>
      </c>
      <c r="C22" s="261" t="s">
        <v>5132</v>
      </c>
      <c r="D22" s="264" t="s">
        <v>5133</v>
      </c>
      <c r="E22" s="265" t="s">
        <v>5124</v>
      </c>
      <c r="F22" s="268" t="s">
        <v>5125</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5091</v>
      </c>
      <c r="B23" s="260" t="s">
        <v>5121</v>
      </c>
      <c r="C23" s="261" t="s">
        <v>5134</v>
      </c>
      <c r="D23" s="264" t="s">
        <v>5135</v>
      </c>
      <c r="E23" s="265" t="s">
        <v>5095</v>
      </c>
      <c r="F23" s="268" t="s">
        <v>5096</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5091</v>
      </c>
      <c r="B24" s="260" t="s">
        <v>5121</v>
      </c>
      <c r="C24" s="261" t="s">
        <v>5136</v>
      </c>
      <c r="D24" s="264" t="s">
        <v>5137</v>
      </c>
      <c r="E24" s="265" t="s">
        <v>5095</v>
      </c>
      <c r="F24" s="268" t="s">
        <v>5096</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5091</v>
      </c>
      <c r="B25" s="260" t="s">
        <v>5121</v>
      </c>
      <c r="C25" s="261" t="s">
        <v>5138</v>
      </c>
      <c r="D25" s="264" t="s">
        <v>5139</v>
      </c>
      <c r="E25" s="265" t="s">
        <v>5095</v>
      </c>
      <c r="F25" s="268" t="s">
        <v>5140</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5091</v>
      </c>
      <c r="B26" s="260" t="s">
        <v>5121</v>
      </c>
      <c r="C26" s="261" t="s">
        <v>5141</v>
      </c>
      <c r="D26" s="264" t="s">
        <v>5142</v>
      </c>
      <c r="E26" s="265" t="s">
        <v>5095</v>
      </c>
      <c r="F26" s="268" t="s">
        <v>5140</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5091</v>
      </c>
      <c r="B27" s="260" t="s">
        <v>5121</v>
      </c>
      <c r="C27" s="261" t="s">
        <v>5143</v>
      </c>
      <c r="D27" s="264" t="s">
        <v>5144</v>
      </c>
      <c r="E27" s="265" t="s">
        <v>5095</v>
      </c>
      <c r="F27" s="268" t="s">
        <v>5140</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5091</v>
      </c>
      <c r="B28" s="260" t="s">
        <v>5121</v>
      </c>
      <c r="C28" s="261" t="s">
        <v>5145</v>
      </c>
      <c r="D28" s="264" t="s">
        <v>5146</v>
      </c>
      <c r="E28" s="265" t="s">
        <v>5095</v>
      </c>
      <c r="F28" s="268" t="s">
        <v>5140</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5091</v>
      </c>
      <c r="B29" s="260" t="s">
        <v>5121</v>
      </c>
      <c r="C29" s="261" t="s">
        <v>5147</v>
      </c>
      <c r="D29" s="264" t="s">
        <v>5148</v>
      </c>
      <c r="E29" s="265" t="s">
        <v>5095</v>
      </c>
      <c r="F29" s="268" t="s">
        <v>5140</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5091</v>
      </c>
      <c r="B30" s="260" t="s">
        <v>5121</v>
      </c>
      <c r="C30" s="261" t="s">
        <v>5149</v>
      </c>
      <c r="D30" s="264" t="s">
        <v>5150</v>
      </c>
      <c r="E30" s="265" t="s">
        <v>5095</v>
      </c>
      <c r="F30" s="268" t="s">
        <v>5140</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5091</v>
      </c>
      <c r="B31" s="260" t="s">
        <v>5121</v>
      </c>
      <c r="C31" s="261" t="s">
        <v>5151</v>
      </c>
      <c r="D31" s="264" t="s">
        <v>5152</v>
      </c>
      <c r="E31" s="265" t="s">
        <v>5095</v>
      </c>
      <c r="F31" s="268" t="s">
        <v>5140</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5091</v>
      </c>
      <c r="B32" s="260" t="s">
        <v>5121</v>
      </c>
      <c r="C32" s="261" t="s">
        <v>5153</v>
      </c>
      <c r="D32" s="264" t="s">
        <v>5154</v>
      </c>
      <c r="E32" s="265" t="s">
        <v>5095</v>
      </c>
      <c r="F32" s="268" t="s">
        <v>5140</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5091</v>
      </c>
      <c r="B33" s="260" t="s">
        <v>5121</v>
      </c>
      <c r="C33" s="261" t="s">
        <v>5155</v>
      </c>
      <c r="D33" s="264" t="s">
        <v>5156</v>
      </c>
      <c r="E33" s="265" t="s">
        <v>5124</v>
      </c>
      <c r="F33" s="268" t="s">
        <v>5125</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5091</v>
      </c>
      <c r="B34" s="260" t="s">
        <v>5121</v>
      </c>
      <c r="C34" s="261" t="s">
        <v>5157</v>
      </c>
      <c r="D34" s="264" t="s">
        <v>5158</v>
      </c>
      <c r="E34" s="265" t="s">
        <v>5095</v>
      </c>
      <c r="F34" s="268" t="s">
        <v>5140</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5091</v>
      </c>
      <c r="B35" s="259" t="s">
        <v>5159</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5091</v>
      </c>
      <c r="B36" s="260" t="s">
        <v>5159</v>
      </c>
      <c r="C36" s="261" t="s">
        <v>5160</v>
      </c>
      <c r="D36" s="264" t="s">
        <v>5161</v>
      </c>
      <c r="E36" s="265" t="s">
        <v>5095</v>
      </c>
      <c r="F36" s="268" t="s">
        <v>5140</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5091</v>
      </c>
      <c r="B37" s="260" t="s">
        <v>5159</v>
      </c>
      <c r="C37" s="261" t="s">
        <v>5162</v>
      </c>
      <c r="D37" s="264" t="s">
        <v>5163</v>
      </c>
      <c r="E37" s="265" t="s">
        <v>5095</v>
      </c>
      <c r="F37" s="268" t="s">
        <v>5164</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5091</v>
      </c>
      <c r="B38" s="260" t="s">
        <v>5159</v>
      </c>
      <c r="C38" s="261" t="s">
        <v>5165</v>
      </c>
      <c r="D38" s="264" t="s">
        <v>5166</v>
      </c>
      <c r="E38" s="265" t="s">
        <v>5095</v>
      </c>
      <c r="F38" s="268" t="s">
        <v>5164</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5091</v>
      </c>
      <c r="B39" s="260" t="s">
        <v>5159</v>
      </c>
      <c r="C39" s="261" t="s">
        <v>5167</v>
      </c>
      <c r="D39" s="264" t="s">
        <v>5168</v>
      </c>
      <c r="E39" s="265" t="s">
        <v>5095</v>
      </c>
      <c r="F39" s="268" t="s">
        <v>5164</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5091</v>
      </c>
      <c r="B40" s="260" t="s">
        <v>5159</v>
      </c>
      <c r="C40" s="261" t="s">
        <v>5169</v>
      </c>
      <c r="D40" s="264" t="s">
        <v>5170</v>
      </c>
      <c r="E40" s="265" t="s">
        <v>5095</v>
      </c>
      <c r="F40" s="268" t="s">
        <v>5164</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5091</v>
      </c>
      <c r="B41" s="260" t="s">
        <v>5159</v>
      </c>
      <c r="C41" s="261" t="s">
        <v>5171</v>
      </c>
      <c r="D41" s="264" t="s">
        <v>5172</v>
      </c>
      <c r="E41" s="265" t="s">
        <v>5095</v>
      </c>
      <c r="F41" s="268" t="s">
        <v>5164</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5091</v>
      </c>
      <c r="B42" s="260" t="s">
        <v>5159</v>
      </c>
      <c r="C42" s="261" t="s">
        <v>5173</v>
      </c>
      <c r="D42" s="264" t="s">
        <v>5174</v>
      </c>
      <c r="E42" s="265" t="s">
        <v>5095</v>
      </c>
      <c r="F42" s="268" t="s">
        <v>5164</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5091</v>
      </c>
      <c r="B43" s="260" t="s">
        <v>5159</v>
      </c>
      <c r="C43" s="261" t="s">
        <v>5175</v>
      </c>
      <c r="D43" s="264" t="s">
        <v>5176</v>
      </c>
      <c r="E43" s="265" t="s">
        <v>5095</v>
      </c>
      <c r="F43" s="268" t="s">
        <v>5164</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5091</v>
      </c>
      <c r="B44" s="260" t="s">
        <v>5159</v>
      </c>
      <c r="C44" s="261" t="s">
        <v>5177</v>
      </c>
      <c r="D44" s="264" t="s">
        <v>5178</v>
      </c>
      <c r="E44" s="265" t="s">
        <v>5095</v>
      </c>
      <c r="F44" s="268" t="s">
        <v>5164</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5091</v>
      </c>
      <c r="B45" s="260" t="s">
        <v>5159</v>
      </c>
      <c r="C45" s="261" t="s">
        <v>5179</v>
      </c>
      <c r="D45" s="264" t="s">
        <v>5180</v>
      </c>
      <c r="E45" s="265" t="s">
        <v>5095</v>
      </c>
      <c r="F45" s="268" t="s">
        <v>5164</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5091</v>
      </c>
      <c r="B46" s="260" t="s">
        <v>5159</v>
      </c>
      <c r="C46" s="261" t="s">
        <v>5181</v>
      </c>
      <c r="D46" s="264" t="s">
        <v>5182</v>
      </c>
      <c r="E46" s="265" t="s">
        <v>5095</v>
      </c>
      <c r="F46" s="268" t="s">
        <v>5164</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5091</v>
      </c>
      <c r="B47" s="260" t="s">
        <v>5159</v>
      </c>
      <c r="C47" s="261" t="s">
        <v>5183</v>
      </c>
      <c r="D47" s="264" t="s">
        <v>5184</v>
      </c>
      <c r="E47" s="265" t="s">
        <v>5095</v>
      </c>
      <c r="F47" s="268" t="s">
        <v>5164</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5091</v>
      </c>
      <c r="B48" s="260" t="s">
        <v>5159</v>
      </c>
      <c r="C48" s="261" t="s">
        <v>5185</v>
      </c>
      <c r="D48" s="264" t="s">
        <v>5186</v>
      </c>
      <c r="E48" s="265" t="s">
        <v>5095</v>
      </c>
      <c r="F48" s="268" t="s">
        <v>5164</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5091</v>
      </c>
      <c r="B49" s="260" t="s">
        <v>5159</v>
      </c>
      <c r="C49" s="261" t="s">
        <v>5187</v>
      </c>
      <c r="D49" s="264" t="s">
        <v>5188</v>
      </c>
      <c r="E49" s="265" t="s">
        <v>5095</v>
      </c>
      <c r="F49" s="268" t="s">
        <v>5164</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5091</v>
      </c>
      <c r="B50" s="259" t="s">
        <v>2361</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5091</v>
      </c>
      <c r="B51" s="260" t="s">
        <v>2361</v>
      </c>
      <c r="C51" s="261" t="s">
        <v>5189</v>
      </c>
      <c r="D51" s="264" t="s">
        <v>5190</v>
      </c>
      <c r="E51" s="265" t="s">
        <v>5191</v>
      </c>
      <c r="F51" s="268" t="s">
        <v>5192</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5091</v>
      </c>
      <c r="B52" s="260" t="s">
        <v>2361</v>
      </c>
      <c r="C52" s="261" t="s">
        <v>5193</v>
      </c>
      <c r="D52" s="264" t="s">
        <v>5194</v>
      </c>
      <c r="E52" s="265" t="s">
        <v>5191</v>
      </c>
      <c r="F52" s="268" t="s">
        <v>5192</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5091</v>
      </c>
      <c r="B53" s="260" t="s">
        <v>2361</v>
      </c>
      <c r="C53" s="261" t="s">
        <v>5195</v>
      </c>
      <c r="D53" s="264" t="s">
        <v>5196</v>
      </c>
      <c r="E53" s="265" t="s">
        <v>5191</v>
      </c>
      <c r="F53" s="268" t="s">
        <v>5192</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5091</v>
      </c>
      <c r="B54" s="260" t="s">
        <v>2361</v>
      </c>
      <c r="C54" s="261" t="s">
        <v>5197</v>
      </c>
      <c r="D54" s="264" t="s">
        <v>5198</v>
      </c>
      <c r="E54" s="265" t="s">
        <v>5191</v>
      </c>
      <c r="F54" s="268" t="s">
        <v>5192</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5091</v>
      </c>
      <c r="B55" s="260" t="s">
        <v>2361</v>
      </c>
      <c r="C55" s="261" t="s">
        <v>5199</v>
      </c>
      <c r="D55" s="264" t="s">
        <v>5200</v>
      </c>
      <c r="E55" s="265" t="s">
        <v>5191</v>
      </c>
      <c r="F55" s="268" t="s">
        <v>5192</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5091</v>
      </c>
      <c r="B56" s="260" t="s">
        <v>2361</v>
      </c>
      <c r="C56" s="261" t="s">
        <v>5201</v>
      </c>
      <c r="D56" s="264" t="s">
        <v>5202</v>
      </c>
      <c r="E56" s="265" t="s">
        <v>5191</v>
      </c>
      <c r="F56" s="268" t="s">
        <v>5192</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5091</v>
      </c>
      <c r="B57" s="260" t="s">
        <v>2361</v>
      </c>
      <c r="C57" s="261" t="s">
        <v>5203</v>
      </c>
      <c r="D57" s="264" t="s">
        <v>5204</v>
      </c>
      <c r="E57" s="265" t="s">
        <v>5191</v>
      </c>
      <c r="F57" s="268" t="s">
        <v>5192</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5091</v>
      </c>
      <c r="B58" s="260" t="s">
        <v>2361</v>
      </c>
      <c r="C58" s="261" t="s">
        <v>5205</v>
      </c>
      <c r="D58" s="264" t="s">
        <v>5206</v>
      </c>
      <c r="E58" s="265" t="s">
        <v>5095</v>
      </c>
      <c r="F58" s="268" t="s">
        <v>5192</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5091</v>
      </c>
      <c r="B59" s="260" t="s">
        <v>2361</v>
      </c>
      <c r="C59" s="261" t="s">
        <v>5207</v>
      </c>
      <c r="D59" s="264" t="s">
        <v>5208</v>
      </c>
      <c r="E59" s="265" t="s">
        <v>5095</v>
      </c>
      <c r="F59" s="268" t="s">
        <v>5192</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5091</v>
      </c>
      <c r="B60" s="259" t="s">
        <v>5209</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5091</v>
      </c>
      <c r="B61" s="260" t="s">
        <v>5209</v>
      </c>
      <c r="C61" s="261" t="s">
        <v>5210</v>
      </c>
      <c r="D61" s="264" t="s">
        <v>5211</v>
      </c>
      <c r="E61" s="265" t="s">
        <v>5095</v>
      </c>
      <c r="F61" s="268" t="s">
        <v>5212</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5091</v>
      </c>
      <c r="B62" s="260" t="s">
        <v>5209</v>
      </c>
      <c r="C62" s="261" t="s">
        <v>5213</v>
      </c>
      <c r="D62" s="264" t="s">
        <v>5214</v>
      </c>
      <c r="E62" s="265" t="s">
        <v>5095</v>
      </c>
      <c r="F62" s="268" t="s">
        <v>5212</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5091</v>
      </c>
      <c r="B63" s="260" t="s">
        <v>5209</v>
      </c>
      <c r="C63" s="261" t="s">
        <v>5215</v>
      </c>
      <c r="D63" s="264" t="s">
        <v>5216</v>
      </c>
      <c r="E63" s="265" t="s">
        <v>5095</v>
      </c>
      <c r="F63" s="268" t="s">
        <v>5212</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5091</v>
      </c>
      <c r="B64" s="260" t="s">
        <v>5209</v>
      </c>
      <c r="C64" s="261" t="s">
        <v>5217</v>
      </c>
      <c r="D64" s="264" t="s">
        <v>5218</v>
      </c>
      <c r="E64" s="265" t="s">
        <v>5095</v>
      </c>
      <c r="F64" s="268" t="s">
        <v>5212</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5091</v>
      </c>
      <c r="B65" s="260" t="s">
        <v>5209</v>
      </c>
      <c r="C65" s="261" t="s">
        <v>5219</v>
      </c>
      <c r="D65" s="264" t="s">
        <v>5220</v>
      </c>
      <c r="E65" s="265" t="s">
        <v>5095</v>
      </c>
      <c r="F65" s="268" t="s">
        <v>5212</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5091</v>
      </c>
      <c r="B66" s="260" t="s">
        <v>5209</v>
      </c>
      <c r="C66" s="261" t="s">
        <v>5221</v>
      </c>
      <c r="D66" s="264" t="s">
        <v>5222</v>
      </c>
      <c r="E66" s="265" t="s">
        <v>5095</v>
      </c>
      <c r="F66" s="268" t="s">
        <v>5212</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5091</v>
      </c>
      <c r="B67" s="260" t="s">
        <v>5209</v>
      </c>
      <c r="C67" s="261" t="s">
        <v>5223</v>
      </c>
      <c r="D67" s="264" t="s">
        <v>5224</v>
      </c>
      <c r="E67" s="265" t="s">
        <v>5095</v>
      </c>
      <c r="F67" s="268" t="s">
        <v>5212</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5091</v>
      </c>
      <c r="B68" s="260" t="s">
        <v>5209</v>
      </c>
      <c r="C68" s="261" t="s">
        <v>5225</v>
      </c>
      <c r="D68" s="264" t="s">
        <v>5226</v>
      </c>
      <c r="E68" s="265" t="s">
        <v>5095</v>
      </c>
      <c r="F68" s="268" t="s">
        <v>5227</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5091</v>
      </c>
      <c r="B69" s="260" t="s">
        <v>5209</v>
      </c>
      <c r="C69" s="261" t="s">
        <v>5228</v>
      </c>
      <c r="D69" s="264" t="s">
        <v>5229</v>
      </c>
      <c r="E69" s="265" t="s">
        <v>5095</v>
      </c>
      <c r="F69" s="268" t="s">
        <v>5227</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5091</v>
      </c>
      <c r="B70" s="260" t="s">
        <v>5209</v>
      </c>
      <c r="C70" s="261" t="s">
        <v>5230</v>
      </c>
      <c r="D70" s="264" t="s">
        <v>5231</v>
      </c>
      <c r="E70" s="265" t="s">
        <v>5095</v>
      </c>
      <c r="F70" s="268" t="s">
        <v>5227</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5091</v>
      </c>
      <c r="B71" s="260" t="s">
        <v>5209</v>
      </c>
      <c r="C71" s="261" t="s">
        <v>5232</v>
      </c>
      <c r="D71" s="264" t="s">
        <v>5233</v>
      </c>
      <c r="E71" s="265" t="s">
        <v>5095</v>
      </c>
      <c r="F71" s="268" t="s">
        <v>5234</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5091</v>
      </c>
      <c r="B72" s="260" t="s">
        <v>5209</v>
      </c>
      <c r="C72" s="261" t="s">
        <v>5235</v>
      </c>
      <c r="D72" s="264" t="s">
        <v>5236</v>
      </c>
      <c r="E72" s="265" t="s">
        <v>5095</v>
      </c>
      <c r="F72" s="268" t="s">
        <v>5212</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5091</v>
      </c>
      <c r="B73" s="260" t="s">
        <v>5209</v>
      </c>
      <c r="C73" s="261" t="s">
        <v>5237</v>
      </c>
      <c r="D73" s="264" t="s">
        <v>5238</v>
      </c>
      <c r="E73" s="265" t="s">
        <v>5239</v>
      </c>
      <c r="F73" s="268" t="s">
        <v>5212</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5091</v>
      </c>
      <c r="B74" s="259" t="s">
        <v>5240</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5091</v>
      </c>
      <c r="B75" s="260" t="s">
        <v>5240</v>
      </c>
      <c r="C75" s="261" t="s">
        <v>5241</v>
      </c>
      <c r="D75" s="264" t="s">
        <v>5242</v>
      </c>
      <c r="E75" s="265" t="s">
        <v>5239</v>
      </c>
      <c r="F75" s="268" t="s">
        <v>5243</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5091</v>
      </c>
      <c r="B76" s="260" t="s">
        <v>5240</v>
      </c>
      <c r="C76" s="261" t="s">
        <v>5244</v>
      </c>
      <c r="D76" s="264" t="s">
        <v>5245</v>
      </c>
      <c r="E76" s="265" t="s">
        <v>5239</v>
      </c>
      <c r="F76" s="268" t="s">
        <v>5243</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5091</v>
      </c>
      <c r="B77" s="260" t="s">
        <v>5240</v>
      </c>
      <c r="C77" s="261" t="s">
        <v>5246</v>
      </c>
      <c r="D77" s="264" t="s">
        <v>5247</v>
      </c>
      <c r="E77" s="265" t="s">
        <v>5239</v>
      </c>
      <c r="F77" s="268" t="s">
        <v>5243</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5091</v>
      </c>
      <c r="B78" s="260" t="s">
        <v>5240</v>
      </c>
      <c r="C78" s="261" t="s">
        <v>5248</v>
      </c>
      <c r="D78" s="264" t="s">
        <v>5249</v>
      </c>
      <c r="E78" s="265" t="s">
        <v>5239</v>
      </c>
      <c r="F78" s="268" t="s">
        <v>5243</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5091</v>
      </c>
      <c r="B79" s="260" t="s">
        <v>5240</v>
      </c>
      <c r="C79" s="261" t="s">
        <v>5250</v>
      </c>
      <c r="D79" s="264" t="s">
        <v>5251</v>
      </c>
      <c r="E79" s="265" t="s">
        <v>5239</v>
      </c>
      <c r="F79" s="268" t="s">
        <v>5243</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5091</v>
      </c>
      <c r="B80" s="260" t="s">
        <v>5240</v>
      </c>
      <c r="C80" s="261" t="s">
        <v>5252</v>
      </c>
      <c r="D80" s="264" t="s">
        <v>5253</v>
      </c>
      <c r="E80" s="265" t="s">
        <v>5239</v>
      </c>
      <c r="F80" s="268" t="s">
        <v>5243</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5091</v>
      </c>
      <c r="B81" s="260" t="s">
        <v>5240</v>
      </c>
      <c r="C81" s="261" t="s">
        <v>5254</v>
      </c>
      <c r="D81" s="264" t="s">
        <v>5255</v>
      </c>
      <c r="E81" s="265" t="s">
        <v>5239</v>
      </c>
      <c r="F81" s="268" t="s">
        <v>5243</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5091</v>
      </c>
      <c r="B82" s="260" t="s">
        <v>5240</v>
      </c>
      <c r="C82" s="261" t="s">
        <v>5256</v>
      </c>
      <c r="D82" s="264" t="s">
        <v>5257</v>
      </c>
      <c r="E82" s="265" t="s">
        <v>5239</v>
      </c>
      <c r="F82" s="268" t="s">
        <v>5243</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5091</v>
      </c>
      <c r="B83" s="260" t="s">
        <v>5240</v>
      </c>
      <c r="C83" s="261" t="s">
        <v>5258</v>
      </c>
      <c r="D83" s="264" t="s">
        <v>5259</v>
      </c>
      <c r="E83" s="265" t="s">
        <v>5239</v>
      </c>
      <c r="F83" s="268" t="s">
        <v>5243</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5091</v>
      </c>
      <c r="B84" s="260" t="s">
        <v>5240</v>
      </c>
      <c r="C84" s="261" t="s">
        <v>5260</v>
      </c>
      <c r="D84" s="264" t="s">
        <v>5261</v>
      </c>
      <c r="E84" s="265" t="s">
        <v>5239</v>
      </c>
      <c r="F84" s="268" t="s">
        <v>5243</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5091</v>
      </c>
      <c r="B85" s="260" t="s">
        <v>5240</v>
      </c>
      <c r="C85" s="261" t="s">
        <v>5262</v>
      </c>
      <c r="D85" s="264" t="s">
        <v>5263</v>
      </c>
      <c r="E85" s="265" t="s">
        <v>5239</v>
      </c>
      <c r="F85" s="268" t="s">
        <v>5243</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5091</v>
      </c>
      <c r="B86" s="260" t="s">
        <v>5240</v>
      </c>
      <c r="C86" s="261" t="s">
        <v>5264</v>
      </c>
      <c r="D86" s="264" t="s">
        <v>5265</v>
      </c>
      <c r="E86" s="265" t="s">
        <v>5239</v>
      </c>
      <c r="F86" s="268" t="s">
        <v>5243</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5091</v>
      </c>
      <c r="B87" s="260" t="s">
        <v>5240</v>
      </c>
      <c r="C87" s="261" t="s">
        <v>5266</v>
      </c>
      <c r="D87" s="264" t="s">
        <v>5267</v>
      </c>
      <c r="E87" s="265" t="s">
        <v>5239</v>
      </c>
      <c r="F87" s="268" t="s">
        <v>5243</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5091</v>
      </c>
      <c r="B88" s="260" t="s">
        <v>5240</v>
      </c>
      <c r="C88" s="261" t="s">
        <v>5268</v>
      </c>
      <c r="D88" s="264" t="s">
        <v>5269</v>
      </c>
      <c r="E88" s="265" t="s">
        <v>5239</v>
      </c>
      <c r="F88" s="268" t="s">
        <v>5227</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5091</v>
      </c>
      <c r="B89" s="260" t="s">
        <v>5240</v>
      </c>
      <c r="C89" s="261" t="s">
        <v>5270</v>
      </c>
      <c r="D89" s="264" t="s">
        <v>5271</v>
      </c>
      <c r="E89" s="265" t="s">
        <v>5239</v>
      </c>
      <c r="F89" s="268" t="s">
        <v>5227</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5091</v>
      </c>
      <c r="B90" s="260" t="s">
        <v>5240</v>
      </c>
      <c r="C90" s="261" t="s">
        <v>5272</v>
      </c>
      <c r="D90" s="264" t="s">
        <v>5273</v>
      </c>
      <c r="E90" s="265" t="s">
        <v>5239</v>
      </c>
      <c r="F90" s="268" t="s">
        <v>5227</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5091</v>
      </c>
      <c r="B91" s="259" t="s">
        <v>5274</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5091</v>
      </c>
      <c r="B92" s="260" t="s">
        <v>5274</v>
      </c>
      <c r="C92" s="261" t="s">
        <v>5275</v>
      </c>
      <c r="D92" s="264" t="s">
        <v>5276</v>
      </c>
      <c r="E92" s="265" t="s">
        <v>5095</v>
      </c>
      <c r="F92" s="268" t="s">
        <v>5227</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5091</v>
      </c>
      <c r="B93" s="260" t="s">
        <v>5274</v>
      </c>
      <c r="C93" s="261" t="s">
        <v>5277</v>
      </c>
      <c r="D93" s="264" t="s">
        <v>5278</v>
      </c>
      <c r="E93" s="265" t="s">
        <v>5095</v>
      </c>
      <c r="F93" s="268" t="s">
        <v>5227</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5091</v>
      </c>
      <c r="B94" s="260" t="s">
        <v>5274</v>
      </c>
      <c r="C94" s="261" t="s">
        <v>5279</v>
      </c>
      <c r="D94" s="264" t="s">
        <v>5280</v>
      </c>
      <c r="E94" s="265" t="s">
        <v>5095</v>
      </c>
      <c r="F94" s="268" t="s">
        <v>5227</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5091</v>
      </c>
      <c r="B95" s="260" t="s">
        <v>5274</v>
      </c>
      <c r="C95" s="261" t="s">
        <v>5281</v>
      </c>
      <c r="D95" s="264" t="s">
        <v>5282</v>
      </c>
      <c r="E95" s="265" t="s">
        <v>5095</v>
      </c>
      <c r="F95" s="268" t="s">
        <v>5227</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5091</v>
      </c>
      <c r="B96" s="260" t="s">
        <v>5274</v>
      </c>
      <c r="C96" s="261" t="s">
        <v>5283</v>
      </c>
      <c r="D96" s="264" t="s">
        <v>5284</v>
      </c>
      <c r="E96" s="265" t="s">
        <v>5095</v>
      </c>
      <c r="F96" s="268" t="s">
        <v>5227</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5091</v>
      </c>
      <c r="B97" s="260" t="s">
        <v>5274</v>
      </c>
      <c r="C97" s="261" t="s">
        <v>5285</v>
      </c>
      <c r="D97" s="264" t="s">
        <v>5286</v>
      </c>
      <c r="E97" s="265" t="s">
        <v>5095</v>
      </c>
      <c r="F97" s="268" t="s">
        <v>5287</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5091</v>
      </c>
      <c r="B98" s="260" t="s">
        <v>5274</v>
      </c>
      <c r="C98" s="261" t="s">
        <v>5288</v>
      </c>
      <c r="D98" s="264" t="s">
        <v>5289</v>
      </c>
      <c r="E98" s="265" t="s">
        <v>5095</v>
      </c>
      <c r="F98" s="268" t="s">
        <v>5287</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5091</v>
      </c>
      <c r="B99" s="260" t="s">
        <v>5274</v>
      </c>
      <c r="C99" s="261" t="s">
        <v>5290</v>
      </c>
      <c r="D99" s="264" t="s">
        <v>5291</v>
      </c>
      <c r="E99" s="265" t="s">
        <v>5095</v>
      </c>
      <c r="F99" s="268" t="s">
        <v>5287</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5091</v>
      </c>
      <c r="B100" s="260" t="s">
        <v>5274</v>
      </c>
      <c r="C100" s="261" t="s">
        <v>5292</v>
      </c>
      <c r="D100" s="264" t="s">
        <v>5293</v>
      </c>
      <c r="E100" s="265" t="s">
        <v>5095</v>
      </c>
      <c r="F100" s="268" t="s">
        <v>5287</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5091</v>
      </c>
      <c r="B101" s="260" t="s">
        <v>5274</v>
      </c>
      <c r="C101" s="261" t="s">
        <v>5294</v>
      </c>
      <c r="D101" s="264" t="s">
        <v>5295</v>
      </c>
      <c r="E101" s="265" t="s">
        <v>5095</v>
      </c>
      <c r="F101" s="268" t="s">
        <v>5227</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5091</v>
      </c>
      <c r="B102" s="260" t="s">
        <v>5274</v>
      </c>
      <c r="C102" s="261" t="s">
        <v>5296</v>
      </c>
      <c r="D102" s="264" t="s">
        <v>5297</v>
      </c>
      <c r="E102" s="265" t="s">
        <v>5239</v>
      </c>
      <c r="F102" s="268" t="s">
        <v>5227</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5091</v>
      </c>
      <c r="B103" s="260" t="s">
        <v>5274</v>
      </c>
      <c r="C103" s="261" t="s">
        <v>5298</v>
      </c>
      <c r="D103" s="264" t="s">
        <v>5299</v>
      </c>
      <c r="E103" s="265" t="s">
        <v>5239</v>
      </c>
      <c r="F103" s="268" t="s">
        <v>5227</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5091</v>
      </c>
      <c r="B104" s="260" t="s">
        <v>5274</v>
      </c>
      <c r="C104" s="261" t="s">
        <v>5300</v>
      </c>
      <c r="D104" s="264" t="s">
        <v>5301</v>
      </c>
      <c r="E104" s="265" t="s">
        <v>5239</v>
      </c>
      <c r="F104" s="268" t="s">
        <v>5227</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5091</v>
      </c>
      <c r="B105" s="260" t="s">
        <v>5274</v>
      </c>
      <c r="C105" s="261" t="s">
        <v>5302</v>
      </c>
      <c r="D105" s="264" t="s">
        <v>5303</v>
      </c>
      <c r="E105" s="265" t="s">
        <v>5124</v>
      </c>
      <c r="F105" s="268" t="s">
        <v>5227</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5091</v>
      </c>
      <c r="B106" s="259" t="s">
        <v>5304</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5091</v>
      </c>
      <c r="B107" s="260" t="s">
        <v>5304</v>
      </c>
      <c r="C107" s="261" t="s">
        <v>5305</v>
      </c>
      <c r="D107" s="264" t="s">
        <v>5306</v>
      </c>
      <c r="E107" s="265" t="s">
        <v>5239</v>
      </c>
      <c r="F107" s="268" t="s">
        <v>5227</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5091</v>
      </c>
      <c r="B108" s="260" t="s">
        <v>5304</v>
      </c>
      <c r="C108" s="261" t="s">
        <v>5307</v>
      </c>
      <c r="D108" s="264" t="s">
        <v>5308</v>
      </c>
      <c r="E108" s="265" t="s">
        <v>5239</v>
      </c>
      <c r="F108" s="268" t="s">
        <v>5227</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5091</v>
      </c>
      <c r="B109" s="260" t="s">
        <v>5304</v>
      </c>
      <c r="C109" s="261" t="s">
        <v>5309</v>
      </c>
      <c r="D109" s="264" t="s">
        <v>5310</v>
      </c>
      <c r="E109" s="265" t="s">
        <v>5239</v>
      </c>
      <c r="F109" s="268" t="s">
        <v>5227</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5091</v>
      </c>
      <c r="B110" s="260" t="s">
        <v>5304</v>
      </c>
      <c r="C110" s="261" t="s">
        <v>5311</v>
      </c>
      <c r="D110" s="264" t="s">
        <v>5312</v>
      </c>
      <c r="E110" s="265" t="s">
        <v>5239</v>
      </c>
      <c r="F110" s="268" t="s">
        <v>5227</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5091</v>
      </c>
      <c r="B111" s="260" t="s">
        <v>5304</v>
      </c>
      <c r="C111" s="261" t="s">
        <v>5313</v>
      </c>
      <c r="D111" s="264" t="s">
        <v>5314</v>
      </c>
      <c r="E111" s="265" t="s">
        <v>5239</v>
      </c>
      <c r="F111" s="268" t="s">
        <v>5227</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5091</v>
      </c>
      <c r="B112" s="260" t="s">
        <v>5304</v>
      </c>
      <c r="C112" s="261" t="s">
        <v>5315</v>
      </c>
      <c r="D112" s="264" t="s">
        <v>5316</v>
      </c>
      <c r="E112" s="265" t="s">
        <v>5239</v>
      </c>
      <c r="F112" s="268" t="s">
        <v>5227</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5091</v>
      </c>
      <c r="B113" s="260" t="s">
        <v>5304</v>
      </c>
      <c r="C113" s="261" t="s">
        <v>5317</v>
      </c>
      <c r="D113" s="264" t="s">
        <v>5318</v>
      </c>
      <c r="E113" s="265" t="s">
        <v>5239</v>
      </c>
      <c r="F113" s="268" t="s">
        <v>5227</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5091</v>
      </c>
      <c r="B114" s="260" t="s">
        <v>5304</v>
      </c>
      <c r="C114" s="261" t="s">
        <v>5319</v>
      </c>
      <c r="D114" s="264" t="s">
        <v>5320</v>
      </c>
      <c r="E114" s="265" t="s">
        <v>5239</v>
      </c>
      <c r="F114" s="268" t="s">
        <v>5227</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5091</v>
      </c>
      <c r="B115" s="260" t="s">
        <v>5304</v>
      </c>
      <c r="C115" s="261" t="s">
        <v>5321</v>
      </c>
      <c r="D115" s="264" t="s">
        <v>5322</v>
      </c>
      <c r="E115" s="265" t="s">
        <v>5239</v>
      </c>
      <c r="F115" s="268" t="s">
        <v>5227</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5091</v>
      </c>
      <c r="B116" s="260" t="s">
        <v>5304</v>
      </c>
      <c r="C116" s="261" t="s">
        <v>5323</v>
      </c>
      <c r="D116" s="264" t="s">
        <v>5324</v>
      </c>
      <c r="E116" s="265" t="s">
        <v>5239</v>
      </c>
      <c r="F116" s="268" t="s">
        <v>5227</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5091</v>
      </c>
      <c r="B117" s="260" t="s">
        <v>5304</v>
      </c>
      <c r="C117" s="261" t="s">
        <v>5325</v>
      </c>
      <c r="D117" s="264" t="s">
        <v>5326</v>
      </c>
      <c r="E117" s="265" t="s">
        <v>5239</v>
      </c>
      <c r="F117" s="268" t="s">
        <v>5227</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5327</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5327</v>
      </c>
      <c r="B119" s="259" t="s">
        <v>5328</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5327</v>
      </c>
      <c r="B120" s="260" t="s">
        <v>5328</v>
      </c>
      <c r="C120" s="261" t="s">
        <v>5329</v>
      </c>
      <c r="D120" s="264" t="s">
        <v>5330</v>
      </c>
      <c r="E120" s="265" t="s">
        <v>5095</v>
      </c>
      <c r="F120" s="268" t="s">
        <v>5331</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5327</v>
      </c>
      <c r="B121" s="260" t="s">
        <v>5328</v>
      </c>
      <c r="C121" s="261" t="s">
        <v>5332</v>
      </c>
      <c r="D121" s="264" t="s">
        <v>5333</v>
      </c>
      <c r="E121" s="265" t="s">
        <v>5095</v>
      </c>
      <c r="F121" s="268" t="s">
        <v>5331</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5327</v>
      </c>
      <c r="B122" s="260" t="s">
        <v>5328</v>
      </c>
      <c r="C122" s="261" t="s">
        <v>5334</v>
      </c>
      <c r="D122" s="264" t="s">
        <v>5335</v>
      </c>
      <c r="E122" s="265" t="s">
        <v>5095</v>
      </c>
      <c r="F122" s="268" t="s">
        <v>5331</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5327</v>
      </c>
      <c r="B123" s="260" t="s">
        <v>5328</v>
      </c>
      <c r="C123" s="261" t="s">
        <v>5336</v>
      </c>
      <c r="D123" s="264" t="s">
        <v>5337</v>
      </c>
      <c r="E123" s="265" t="s">
        <v>5095</v>
      </c>
      <c r="F123" s="268" t="s">
        <v>5331</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5327</v>
      </c>
      <c r="B124" s="260" t="s">
        <v>5328</v>
      </c>
      <c r="C124" s="261" t="s">
        <v>5338</v>
      </c>
      <c r="D124" s="264" t="s">
        <v>5339</v>
      </c>
      <c r="E124" s="265" t="s">
        <v>5095</v>
      </c>
      <c r="F124" s="268" t="s">
        <v>5331</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5327</v>
      </c>
      <c r="B125" s="260" t="s">
        <v>5328</v>
      </c>
      <c r="C125" s="261" t="s">
        <v>5340</v>
      </c>
      <c r="D125" s="264" t="s">
        <v>5341</v>
      </c>
      <c r="E125" s="265" t="s">
        <v>5095</v>
      </c>
      <c r="F125" s="268" t="s">
        <v>5331</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5327</v>
      </c>
      <c r="B126" s="260" t="s">
        <v>5328</v>
      </c>
      <c r="C126" s="261" t="s">
        <v>5342</v>
      </c>
      <c r="D126" s="264" t="s">
        <v>5343</v>
      </c>
      <c r="E126" s="265" t="s">
        <v>5095</v>
      </c>
      <c r="F126" s="268" t="s">
        <v>5331</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5327</v>
      </c>
      <c r="B127" s="260" t="s">
        <v>5328</v>
      </c>
      <c r="C127" s="261" t="s">
        <v>5344</v>
      </c>
      <c r="D127" s="264" t="s">
        <v>5345</v>
      </c>
      <c r="E127" s="265" t="s">
        <v>5095</v>
      </c>
      <c r="F127" s="268" t="s">
        <v>5331</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5327</v>
      </c>
      <c r="B128" s="260" t="s">
        <v>5328</v>
      </c>
      <c r="C128" s="261" t="s">
        <v>5346</v>
      </c>
      <c r="D128" s="264" t="s">
        <v>5347</v>
      </c>
      <c r="E128" s="265" t="s">
        <v>5095</v>
      </c>
      <c r="F128" s="268" t="s">
        <v>5331</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5327</v>
      </c>
      <c r="B129" s="260" t="s">
        <v>5328</v>
      </c>
      <c r="C129" s="261" t="s">
        <v>5348</v>
      </c>
      <c r="D129" s="264" t="s">
        <v>5349</v>
      </c>
      <c r="E129" s="265" t="s">
        <v>5095</v>
      </c>
      <c r="F129" s="268" t="s">
        <v>5331</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5327</v>
      </c>
      <c r="B130" s="260" t="s">
        <v>5328</v>
      </c>
      <c r="C130" s="261" t="s">
        <v>5350</v>
      </c>
      <c r="D130" s="264" t="s">
        <v>5351</v>
      </c>
      <c r="E130" s="265" t="s">
        <v>5095</v>
      </c>
      <c r="F130" s="268" t="s">
        <v>5331</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5327</v>
      </c>
      <c r="B131" s="260" t="s">
        <v>5328</v>
      </c>
      <c r="C131" s="261" t="s">
        <v>5352</v>
      </c>
      <c r="D131" s="264" t="s">
        <v>5353</v>
      </c>
      <c r="E131" s="265" t="s">
        <v>5095</v>
      </c>
      <c r="F131" s="268" t="s">
        <v>5331</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5327</v>
      </c>
      <c r="B132" s="260" t="s">
        <v>5328</v>
      </c>
      <c r="C132" s="261" t="s">
        <v>5354</v>
      </c>
      <c r="D132" s="264" t="s">
        <v>5355</v>
      </c>
      <c r="E132" s="265" t="s">
        <v>5095</v>
      </c>
      <c r="F132" s="268" t="s">
        <v>5331</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5327</v>
      </c>
      <c r="B133" s="260" t="s">
        <v>5328</v>
      </c>
      <c r="C133" s="261" t="s">
        <v>5356</v>
      </c>
      <c r="D133" s="264" t="s">
        <v>5357</v>
      </c>
      <c r="E133" s="265" t="s">
        <v>5124</v>
      </c>
      <c r="F133" s="268" t="s">
        <v>5331</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5327</v>
      </c>
      <c r="B134" s="260" t="s">
        <v>5328</v>
      </c>
      <c r="C134" s="261" t="s">
        <v>5358</v>
      </c>
      <c r="D134" s="264" t="s">
        <v>5359</v>
      </c>
      <c r="E134" s="265" t="s">
        <v>5124</v>
      </c>
      <c r="F134" s="268" t="s">
        <v>5331</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5327</v>
      </c>
      <c r="B135" s="260" t="s">
        <v>5328</v>
      </c>
      <c r="C135" s="261" t="s">
        <v>5360</v>
      </c>
      <c r="D135" s="264" t="s">
        <v>5361</v>
      </c>
      <c r="E135" s="265" t="s">
        <v>5239</v>
      </c>
      <c r="F135" s="268" t="s">
        <v>5331</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5327</v>
      </c>
      <c r="B136" s="260" t="s">
        <v>5328</v>
      </c>
      <c r="C136" s="261" t="s">
        <v>5362</v>
      </c>
      <c r="D136" s="264" t="s">
        <v>5363</v>
      </c>
      <c r="E136" s="265" t="s">
        <v>5124</v>
      </c>
      <c r="F136" s="268" t="s">
        <v>5331</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5327</v>
      </c>
      <c r="B137" s="260" t="s">
        <v>5328</v>
      </c>
      <c r="C137" s="261" t="s">
        <v>5364</v>
      </c>
      <c r="D137" s="264" t="s">
        <v>5365</v>
      </c>
      <c r="E137" s="265" t="s">
        <v>5124</v>
      </c>
      <c r="F137" s="268" t="s">
        <v>5331</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5327</v>
      </c>
      <c r="B138" s="260" t="s">
        <v>5328</v>
      </c>
      <c r="C138" s="261" t="s">
        <v>5366</v>
      </c>
      <c r="D138" s="264" t="s">
        <v>5367</v>
      </c>
      <c r="E138" s="265" t="s">
        <v>5239</v>
      </c>
      <c r="F138" s="268" t="s">
        <v>5331</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5327</v>
      </c>
      <c r="B139" s="260" t="s">
        <v>5328</v>
      </c>
      <c r="C139" s="261" t="s">
        <v>5368</v>
      </c>
      <c r="D139" s="264" t="s">
        <v>5369</v>
      </c>
      <c r="E139" s="265" t="s">
        <v>5239</v>
      </c>
      <c r="F139" s="268" t="s">
        <v>5331</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5327</v>
      </c>
      <c r="B140" s="260" t="s">
        <v>5328</v>
      </c>
      <c r="C140" s="261" t="s">
        <v>5370</v>
      </c>
      <c r="D140" s="264" t="s">
        <v>5371</v>
      </c>
      <c r="E140" s="265" t="s">
        <v>5095</v>
      </c>
      <c r="F140" s="268" t="s">
        <v>5331</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5327</v>
      </c>
      <c r="B141" s="260" t="s">
        <v>5328</v>
      </c>
      <c r="C141" s="261" t="s">
        <v>5372</v>
      </c>
      <c r="D141" s="264" t="s">
        <v>5373</v>
      </c>
      <c r="E141" s="265" t="s">
        <v>5374</v>
      </c>
      <c r="F141" s="268" t="s">
        <v>5375</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5327</v>
      </c>
      <c r="B142" s="260" t="s">
        <v>5328</v>
      </c>
      <c r="C142" s="261" t="s">
        <v>5376</v>
      </c>
      <c r="D142" s="264" t="s">
        <v>5377</v>
      </c>
      <c r="E142" s="265" t="s">
        <v>5374</v>
      </c>
      <c r="F142" s="268" t="s">
        <v>5375</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5327</v>
      </c>
      <c r="B143" s="260" t="s">
        <v>5328</v>
      </c>
      <c r="C143" s="261" t="s">
        <v>5378</v>
      </c>
      <c r="D143" s="264" t="s">
        <v>5379</v>
      </c>
      <c r="E143" s="265" t="s">
        <v>5374</v>
      </c>
      <c r="F143" s="268" t="s">
        <v>5375</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5327</v>
      </c>
      <c r="B144" s="260" t="s">
        <v>5328</v>
      </c>
      <c r="C144" s="261" t="s">
        <v>5380</v>
      </c>
      <c r="D144" s="264" t="s">
        <v>5381</v>
      </c>
      <c r="E144" s="265" t="s">
        <v>5191</v>
      </c>
      <c r="F144" s="268" t="s">
        <v>5375</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5327</v>
      </c>
      <c r="B145" s="260" t="s">
        <v>5328</v>
      </c>
      <c r="C145" s="261" t="s">
        <v>5382</v>
      </c>
      <c r="D145" s="264" t="s">
        <v>5383</v>
      </c>
      <c r="E145" s="265" t="s">
        <v>5191</v>
      </c>
      <c r="F145" s="268" t="s">
        <v>5375</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5327</v>
      </c>
      <c r="B146" s="260" t="s">
        <v>5328</v>
      </c>
      <c r="C146" s="261" t="s">
        <v>5384</v>
      </c>
      <c r="D146" s="264" t="s">
        <v>5385</v>
      </c>
      <c r="E146" s="265" t="s">
        <v>5191</v>
      </c>
      <c r="F146" s="268" t="s">
        <v>5375</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5327</v>
      </c>
      <c r="B147" s="259" t="s">
        <v>5386</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5327</v>
      </c>
      <c r="B148" s="260" t="s">
        <v>5386</v>
      </c>
      <c r="C148" s="261" t="s">
        <v>5387</v>
      </c>
      <c r="D148" s="264" t="s">
        <v>5388</v>
      </c>
      <c r="E148" s="265" t="s">
        <v>5124</v>
      </c>
      <c r="F148" s="268" t="s">
        <v>5389</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5327</v>
      </c>
      <c r="B149" s="260" t="s">
        <v>5386</v>
      </c>
      <c r="C149" s="261" t="s">
        <v>5390</v>
      </c>
      <c r="D149" s="264" t="s">
        <v>5391</v>
      </c>
      <c r="E149" s="265" t="s">
        <v>5124</v>
      </c>
      <c r="F149" s="268" t="s">
        <v>5389</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5327</v>
      </c>
      <c r="B150" s="260" t="s">
        <v>5386</v>
      </c>
      <c r="C150" s="261" t="s">
        <v>5392</v>
      </c>
      <c r="D150" s="264" t="s">
        <v>5393</v>
      </c>
      <c r="E150" s="265" t="s">
        <v>5124</v>
      </c>
      <c r="F150" s="268" t="s">
        <v>5389</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5327</v>
      </c>
      <c r="B151" s="260" t="s">
        <v>5386</v>
      </c>
      <c r="C151" s="261" t="s">
        <v>5394</v>
      </c>
      <c r="D151" s="264" t="s">
        <v>5395</v>
      </c>
      <c r="E151" s="265" t="s">
        <v>5124</v>
      </c>
      <c r="F151" s="268" t="s">
        <v>5389</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5327</v>
      </c>
      <c r="B152" s="260" t="s">
        <v>5386</v>
      </c>
      <c r="C152" s="261" t="s">
        <v>5396</v>
      </c>
      <c r="D152" s="264" t="s">
        <v>5397</v>
      </c>
      <c r="E152" s="265" t="s">
        <v>5124</v>
      </c>
      <c r="F152" s="268" t="s">
        <v>5389</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5327</v>
      </c>
      <c r="B153" s="260" t="s">
        <v>5386</v>
      </c>
      <c r="C153" s="261" t="s">
        <v>5398</v>
      </c>
      <c r="D153" s="264" t="s">
        <v>5399</v>
      </c>
      <c r="E153" s="265" t="s">
        <v>5124</v>
      </c>
      <c r="F153" s="268" t="s">
        <v>5389</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5327</v>
      </c>
      <c r="B154" s="260" t="s">
        <v>5386</v>
      </c>
      <c r="C154" s="261" t="s">
        <v>5400</v>
      </c>
      <c r="D154" s="264" t="s">
        <v>5401</v>
      </c>
      <c r="E154" s="265" t="s">
        <v>5124</v>
      </c>
      <c r="F154" s="268" t="s">
        <v>5389</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5327</v>
      </c>
      <c r="B155" s="260" t="s">
        <v>5386</v>
      </c>
      <c r="C155" s="261" t="s">
        <v>5402</v>
      </c>
      <c r="D155" s="264" t="s">
        <v>5403</v>
      </c>
      <c r="E155" s="265" t="s">
        <v>5124</v>
      </c>
      <c r="F155" s="268" t="s">
        <v>5389</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5327</v>
      </c>
      <c r="B156" s="260" t="s">
        <v>5386</v>
      </c>
      <c r="C156" s="261" t="s">
        <v>5404</v>
      </c>
      <c r="D156" s="264" t="s">
        <v>5405</v>
      </c>
      <c r="E156" s="265" t="s">
        <v>5124</v>
      </c>
      <c r="F156" s="268" t="s">
        <v>5389</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5327</v>
      </c>
      <c r="B157" s="260" t="s">
        <v>5386</v>
      </c>
      <c r="C157" s="261" t="s">
        <v>5406</v>
      </c>
      <c r="D157" s="264" t="s">
        <v>5407</v>
      </c>
      <c r="E157" s="265" t="s">
        <v>5124</v>
      </c>
      <c r="F157" s="268" t="s">
        <v>5389</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5327</v>
      </c>
      <c r="B158" s="260" t="s">
        <v>5386</v>
      </c>
      <c r="C158" s="261" t="s">
        <v>5408</v>
      </c>
      <c r="D158" s="264" t="s">
        <v>5409</v>
      </c>
      <c r="E158" s="265" t="s">
        <v>5124</v>
      </c>
      <c r="F158" s="268" t="s">
        <v>5389</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5327</v>
      </c>
      <c r="B159" s="260" t="s">
        <v>5386</v>
      </c>
      <c r="C159" s="261" t="s">
        <v>5410</v>
      </c>
      <c r="D159" s="264" t="s">
        <v>5411</v>
      </c>
      <c r="E159" s="265" t="s">
        <v>5124</v>
      </c>
      <c r="F159" s="268" t="s">
        <v>5389</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5327</v>
      </c>
      <c r="B160" s="260" t="s">
        <v>5386</v>
      </c>
      <c r="C160" s="261" t="s">
        <v>5412</v>
      </c>
      <c r="D160" s="264" t="s">
        <v>5413</v>
      </c>
      <c r="E160" s="265" t="s">
        <v>5124</v>
      </c>
      <c r="F160" s="268" t="s">
        <v>5414</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5327</v>
      </c>
      <c r="B161" s="260" t="s">
        <v>5386</v>
      </c>
      <c r="C161" s="261" t="s">
        <v>5415</v>
      </c>
      <c r="D161" s="264" t="s">
        <v>5416</v>
      </c>
      <c r="E161" s="265" t="s">
        <v>5124</v>
      </c>
      <c r="F161" s="268" t="s">
        <v>5414</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5327</v>
      </c>
      <c r="B162" s="260" t="s">
        <v>5386</v>
      </c>
      <c r="C162" s="261" t="s">
        <v>5417</v>
      </c>
      <c r="D162" s="264" t="s">
        <v>5418</v>
      </c>
      <c r="E162" s="265" t="s">
        <v>5124</v>
      </c>
      <c r="F162" s="268" t="s">
        <v>5414</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5327</v>
      </c>
      <c r="B163" s="260" t="s">
        <v>5386</v>
      </c>
      <c r="C163" s="261" t="s">
        <v>5419</v>
      </c>
      <c r="D163" s="264" t="s">
        <v>5420</v>
      </c>
      <c r="E163" s="265" t="s">
        <v>5124</v>
      </c>
      <c r="F163" s="268" t="s">
        <v>5414</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5327</v>
      </c>
      <c r="B164" s="260" t="s">
        <v>5386</v>
      </c>
      <c r="C164" s="261" t="s">
        <v>5421</v>
      </c>
      <c r="D164" s="264" t="s">
        <v>5422</v>
      </c>
      <c r="E164" s="265" t="s">
        <v>5124</v>
      </c>
      <c r="F164" s="268" t="s">
        <v>5414</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5327</v>
      </c>
      <c r="B165" s="259" t="s">
        <v>5423</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5327</v>
      </c>
      <c r="B166" s="260" t="s">
        <v>5423</v>
      </c>
      <c r="C166" s="261" t="s">
        <v>5424</v>
      </c>
      <c r="D166" s="264" t="s">
        <v>5425</v>
      </c>
      <c r="E166" s="265" t="s">
        <v>5095</v>
      </c>
      <c r="F166" s="268" t="s">
        <v>5426</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5327</v>
      </c>
      <c r="B167" s="260" t="s">
        <v>5423</v>
      </c>
      <c r="C167" s="261" t="s">
        <v>5427</v>
      </c>
      <c r="D167" s="264" t="s">
        <v>5428</v>
      </c>
      <c r="E167" s="265" t="s">
        <v>5239</v>
      </c>
      <c r="F167" s="268" t="s">
        <v>5426</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5327</v>
      </c>
      <c r="B168" s="260" t="s">
        <v>5423</v>
      </c>
      <c r="C168" s="261" t="s">
        <v>5429</v>
      </c>
      <c r="D168" s="264" t="s">
        <v>5430</v>
      </c>
      <c r="E168" s="265" t="s">
        <v>5191</v>
      </c>
      <c r="F168" s="268" t="s">
        <v>5426</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5327</v>
      </c>
      <c r="B169" s="260" t="s">
        <v>5423</v>
      </c>
      <c r="C169" s="261" t="s">
        <v>5431</v>
      </c>
      <c r="D169" s="264" t="s">
        <v>5432</v>
      </c>
      <c r="E169" s="265" t="s">
        <v>5191</v>
      </c>
      <c r="F169" s="268" t="s">
        <v>5426</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5327</v>
      </c>
      <c r="B170" s="260" t="s">
        <v>5423</v>
      </c>
      <c r="C170" s="261" t="s">
        <v>5433</v>
      </c>
      <c r="D170" s="264" t="s">
        <v>5434</v>
      </c>
      <c r="E170" s="265" t="s">
        <v>5239</v>
      </c>
      <c r="F170" s="268" t="s">
        <v>5426</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5327</v>
      </c>
      <c r="B171" s="260" t="s">
        <v>5423</v>
      </c>
      <c r="C171" s="261" t="s">
        <v>5435</v>
      </c>
      <c r="D171" s="264" t="s">
        <v>5436</v>
      </c>
      <c r="E171" s="265" t="s">
        <v>5124</v>
      </c>
      <c r="F171" s="268" t="s">
        <v>5426</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5327</v>
      </c>
      <c r="B172" s="260" t="s">
        <v>5423</v>
      </c>
      <c r="C172" s="261" t="s">
        <v>5437</v>
      </c>
      <c r="D172" s="264" t="s">
        <v>5438</v>
      </c>
      <c r="E172" s="265" t="s">
        <v>5191</v>
      </c>
      <c r="F172" s="268" t="s">
        <v>5426</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5327</v>
      </c>
      <c r="B173" s="260" t="s">
        <v>5423</v>
      </c>
      <c r="C173" s="261" t="s">
        <v>5439</v>
      </c>
      <c r="D173" s="264" t="s">
        <v>5440</v>
      </c>
      <c r="E173" s="265" t="s">
        <v>5124</v>
      </c>
      <c r="F173" s="268" t="s">
        <v>5426</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5327</v>
      </c>
      <c r="B174" s="260" t="s">
        <v>5423</v>
      </c>
      <c r="C174" s="261" t="s">
        <v>5441</v>
      </c>
      <c r="D174" s="264" t="s">
        <v>5442</v>
      </c>
      <c r="E174" s="265" t="s">
        <v>5191</v>
      </c>
      <c r="F174" s="268" t="s">
        <v>5426</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5327</v>
      </c>
      <c r="B175" s="260" t="s">
        <v>5423</v>
      </c>
      <c r="C175" s="261" t="s">
        <v>5443</v>
      </c>
      <c r="D175" s="264" t="s">
        <v>5444</v>
      </c>
      <c r="E175" s="265" t="s">
        <v>5124</v>
      </c>
      <c r="F175" s="268" t="s">
        <v>5426</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5327</v>
      </c>
      <c r="B176" s="260" t="s">
        <v>5423</v>
      </c>
      <c r="C176" s="261" t="s">
        <v>5445</v>
      </c>
      <c r="D176" s="264" t="s">
        <v>5446</v>
      </c>
      <c r="E176" s="265" t="s">
        <v>5095</v>
      </c>
      <c r="F176" s="268" t="s">
        <v>5426</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5327</v>
      </c>
      <c r="B177" s="260" t="s">
        <v>5423</v>
      </c>
      <c r="C177" s="261" t="s">
        <v>5447</v>
      </c>
      <c r="D177" s="264" t="s">
        <v>5448</v>
      </c>
      <c r="E177" s="265" t="s">
        <v>5095</v>
      </c>
      <c r="F177" s="268" t="s">
        <v>5426</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5327</v>
      </c>
      <c r="B178" s="260" t="s">
        <v>5423</v>
      </c>
      <c r="C178" s="261" t="s">
        <v>5449</v>
      </c>
      <c r="D178" s="264" t="s">
        <v>5450</v>
      </c>
      <c r="E178" s="265" t="s">
        <v>5124</v>
      </c>
      <c r="F178" s="268" t="s">
        <v>5426</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5327</v>
      </c>
      <c r="B179" s="260" t="s">
        <v>5423</v>
      </c>
      <c r="C179" s="261" t="s">
        <v>5451</v>
      </c>
      <c r="D179" s="264" t="s">
        <v>5452</v>
      </c>
      <c r="E179" s="265" t="s">
        <v>5239</v>
      </c>
      <c r="F179" s="268" t="s">
        <v>5426</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5327</v>
      </c>
      <c r="B180" s="260" t="s">
        <v>5423</v>
      </c>
      <c r="C180" s="261" t="s">
        <v>5453</v>
      </c>
      <c r="D180" s="264" t="s">
        <v>5454</v>
      </c>
      <c r="E180" s="265" t="s">
        <v>5239</v>
      </c>
      <c r="F180" s="268" t="s">
        <v>5426</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5327</v>
      </c>
      <c r="B181" s="259" t="s">
        <v>5455</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5327</v>
      </c>
      <c r="B182" s="260" t="s">
        <v>5455</v>
      </c>
      <c r="C182" s="261" t="s">
        <v>5456</v>
      </c>
      <c r="D182" s="264" t="s">
        <v>5457</v>
      </c>
      <c r="E182" s="265" t="s">
        <v>5095</v>
      </c>
      <c r="F182" s="268" t="s">
        <v>5458</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5327</v>
      </c>
      <c r="B183" s="260" t="s">
        <v>5455</v>
      </c>
      <c r="C183" s="261" t="s">
        <v>5459</v>
      </c>
      <c r="D183" s="264" t="s">
        <v>5460</v>
      </c>
      <c r="E183" s="265" t="s">
        <v>5095</v>
      </c>
      <c r="F183" s="268" t="s">
        <v>5458</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5327</v>
      </c>
      <c r="B184" s="260" t="s">
        <v>5455</v>
      </c>
      <c r="C184" s="261" t="s">
        <v>5461</v>
      </c>
      <c r="D184" s="264" t="s">
        <v>5462</v>
      </c>
      <c r="E184" s="265" t="s">
        <v>5095</v>
      </c>
      <c r="F184" s="268" t="s">
        <v>5458</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5327</v>
      </c>
      <c r="B185" s="260" t="s">
        <v>5455</v>
      </c>
      <c r="C185" s="261" t="s">
        <v>5463</v>
      </c>
      <c r="D185" s="264" t="s">
        <v>5464</v>
      </c>
      <c r="E185" s="265" t="s">
        <v>5095</v>
      </c>
      <c r="F185" s="268" t="s">
        <v>5458</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5327</v>
      </c>
      <c r="B186" s="260" t="s">
        <v>5455</v>
      </c>
      <c r="C186" s="261" t="s">
        <v>5465</v>
      </c>
      <c r="D186" s="264" t="s">
        <v>5466</v>
      </c>
      <c r="E186" s="265" t="s">
        <v>5095</v>
      </c>
      <c r="F186" s="268" t="s">
        <v>5458</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5327</v>
      </c>
      <c r="B187" s="260" t="s">
        <v>5455</v>
      </c>
      <c r="C187" s="261" t="s">
        <v>5467</v>
      </c>
      <c r="D187" s="264" t="s">
        <v>5468</v>
      </c>
      <c r="E187" s="265" t="s">
        <v>5124</v>
      </c>
      <c r="F187" s="268" t="s">
        <v>5458</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5327</v>
      </c>
      <c r="B188" s="260" t="s">
        <v>5455</v>
      </c>
      <c r="C188" s="261" t="s">
        <v>5469</v>
      </c>
      <c r="D188" s="264" t="s">
        <v>5470</v>
      </c>
      <c r="E188" s="265" t="s">
        <v>5124</v>
      </c>
      <c r="F188" s="268" t="s">
        <v>5458</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5327</v>
      </c>
      <c r="B189" s="260" t="s">
        <v>5455</v>
      </c>
      <c r="C189" s="261" t="s">
        <v>5471</v>
      </c>
      <c r="D189" s="264" t="s">
        <v>5472</v>
      </c>
      <c r="E189" s="265" t="s">
        <v>5124</v>
      </c>
      <c r="F189" s="268" t="s">
        <v>5458</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5327</v>
      </c>
      <c r="B190" s="260" t="s">
        <v>5455</v>
      </c>
      <c r="C190" s="261" t="s">
        <v>5473</v>
      </c>
      <c r="D190" s="264" t="s">
        <v>5474</v>
      </c>
      <c r="E190" s="265" t="s">
        <v>5124</v>
      </c>
      <c r="F190" s="268" t="s">
        <v>5458</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5327</v>
      </c>
      <c r="B191" s="260" t="s">
        <v>5455</v>
      </c>
      <c r="C191" s="261" t="s">
        <v>5475</v>
      </c>
      <c r="D191" s="264" t="s">
        <v>5476</v>
      </c>
      <c r="E191" s="265" t="s">
        <v>5095</v>
      </c>
      <c r="F191" s="268" t="s">
        <v>5458</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5327</v>
      </c>
      <c r="B192" s="260" t="s">
        <v>5455</v>
      </c>
      <c r="C192" s="261" t="s">
        <v>5477</v>
      </c>
      <c r="D192" s="264" t="s">
        <v>5478</v>
      </c>
      <c r="E192" s="265" t="s">
        <v>5095</v>
      </c>
      <c r="F192" s="268" t="s">
        <v>5458</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5327</v>
      </c>
      <c r="B193" s="260" t="s">
        <v>5455</v>
      </c>
      <c r="C193" s="261" t="s">
        <v>5479</v>
      </c>
      <c r="D193" s="264" t="s">
        <v>5480</v>
      </c>
      <c r="E193" s="265" t="s">
        <v>5095</v>
      </c>
      <c r="F193" s="268" t="s">
        <v>5458</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5327</v>
      </c>
      <c r="B194" s="260" t="s">
        <v>5455</v>
      </c>
      <c r="C194" s="261" t="s">
        <v>5481</v>
      </c>
      <c r="D194" s="264" t="s">
        <v>5482</v>
      </c>
      <c r="E194" s="265" t="s">
        <v>5095</v>
      </c>
      <c r="F194" s="268" t="s">
        <v>5458</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5327</v>
      </c>
      <c r="B195" s="260" t="s">
        <v>5455</v>
      </c>
      <c r="C195" s="261" t="s">
        <v>5483</v>
      </c>
      <c r="D195" s="264" t="s">
        <v>5484</v>
      </c>
      <c r="E195" s="265" t="s">
        <v>5095</v>
      </c>
      <c r="F195" s="268" t="s">
        <v>5458</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5327</v>
      </c>
      <c r="B196" s="260" t="s">
        <v>5455</v>
      </c>
      <c r="C196" s="261" t="s">
        <v>5485</v>
      </c>
      <c r="D196" s="264" t="s">
        <v>5486</v>
      </c>
      <c r="E196" s="265" t="s">
        <v>5095</v>
      </c>
      <c r="F196" s="268" t="s">
        <v>5487</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5327</v>
      </c>
      <c r="B197" s="260" t="s">
        <v>5455</v>
      </c>
      <c r="C197" s="261" t="s">
        <v>5488</v>
      </c>
      <c r="D197" s="264" t="s">
        <v>5489</v>
      </c>
      <c r="E197" s="265" t="s">
        <v>5095</v>
      </c>
      <c r="F197" s="268" t="s">
        <v>5487</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5327</v>
      </c>
      <c r="B198" s="260" t="s">
        <v>5455</v>
      </c>
      <c r="C198" s="261" t="s">
        <v>5490</v>
      </c>
      <c r="D198" s="264" t="s">
        <v>5491</v>
      </c>
      <c r="E198" s="265" t="s">
        <v>5095</v>
      </c>
      <c r="F198" s="268" t="s">
        <v>5487</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5327</v>
      </c>
      <c r="B199" s="260" t="s">
        <v>5455</v>
      </c>
      <c r="C199" s="261" t="s">
        <v>5492</v>
      </c>
      <c r="D199" s="264" t="s">
        <v>5493</v>
      </c>
      <c r="E199" s="265" t="s">
        <v>5095</v>
      </c>
      <c r="F199" s="268" t="s">
        <v>5487</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5494</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5494</v>
      </c>
      <c r="B201" s="259" t="s">
        <v>5495</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5494</v>
      </c>
      <c r="B202" s="260" t="s">
        <v>5495</v>
      </c>
      <c r="C202" s="261" t="s">
        <v>5496</v>
      </c>
      <c r="D202" s="264" t="s">
        <v>5497</v>
      </c>
      <c r="E202" s="265" t="s">
        <v>5374</v>
      </c>
      <c r="F202" s="268" t="s">
        <v>5498</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5494</v>
      </c>
      <c r="B203" s="260" t="s">
        <v>5495</v>
      </c>
      <c r="C203" s="261" t="s">
        <v>5499</v>
      </c>
      <c r="D203" s="264" t="s">
        <v>5500</v>
      </c>
      <c r="E203" s="265" t="s">
        <v>5374</v>
      </c>
      <c r="F203" s="268" t="s">
        <v>5498</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5494</v>
      </c>
      <c r="B204" s="260" t="s">
        <v>5495</v>
      </c>
      <c r="C204" s="261" t="s">
        <v>5501</v>
      </c>
      <c r="D204" s="264" t="s">
        <v>5502</v>
      </c>
      <c r="E204" s="265" t="s">
        <v>5374</v>
      </c>
      <c r="F204" s="268" t="s">
        <v>5498</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5494</v>
      </c>
      <c r="B205" s="260" t="s">
        <v>5495</v>
      </c>
      <c r="C205" s="261" t="s">
        <v>5503</v>
      </c>
      <c r="D205" s="264" t="s">
        <v>5504</v>
      </c>
      <c r="E205" s="265" t="s">
        <v>5374</v>
      </c>
      <c r="F205" s="268" t="s">
        <v>5498</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5494</v>
      </c>
      <c r="B206" s="260" t="s">
        <v>5495</v>
      </c>
      <c r="C206" s="261" t="s">
        <v>5505</v>
      </c>
      <c r="D206" s="264" t="s">
        <v>5506</v>
      </c>
      <c r="E206" s="265" t="s">
        <v>5374</v>
      </c>
      <c r="F206" s="268" t="s">
        <v>5498</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5494</v>
      </c>
      <c r="B207" s="260" t="s">
        <v>5495</v>
      </c>
      <c r="C207" s="261" t="s">
        <v>5507</v>
      </c>
      <c r="D207" s="264" t="s">
        <v>5508</v>
      </c>
      <c r="E207" s="265" t="s">
        <v>5239</v>
      </c>
      <c r="F207" s="268" t="s">
        <v>5498</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5494</v>
      </c>
      <c r="B208" s="260" t="s">
        <v>5495</v>
      </c>
      <c r="C208" s="261" t="s">
        <v>5509</v>
      </c>
      <c r="D208" s="264" t="s">
        <v>5510</v>
      </c>
      <c r="E208" s="265" t="s">
        <v>5239</v>
      </c>
      <c r="F208" s="268" t="s">
        <v>5498</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5494</v>
      </c>
      <c r="B209" s="260" t="s">
        <v>5495</v>
      </c>
      <c r="C209" s="261" t="s">
        <v>5511</v>
      </c>
      <c r="D209" s="264" t="s">
        <v>5512</v>
      </c>
      <c r="E209" s="265" t="s">
        <v>5374</v>
      </c>
      <c r="F209" s="268" t="s">
        <v>5498</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5494</v>
      </c>
      <c r="B210" s="260" t="s">
        <v>5495</v>
      </c>
      <c r="C210" s="261" t="s">
        <v>5513</v>
      </c>
      <c r="D210" s="264" t="s">
        <v>5514</v>
      </c>
      <c r="E210" s="265" t="s">
        <v>5124</v>
      </c>
      <c r="F210" s="268" t="s">
        <v>5515</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5494</v>
      </c>
      <c r="B211" s="260" t="s">
        <v>5495</v>
      </c>
      <c r="C211" s="261" t="s">
        <v>5516</v>
      </c>
      <c r="D211" s="264" t="s">
        <v>5517</v>
      </c>
      <c r="E211" s="265" t="s">
        <v>5124</v>
      </c>
      <c r="F211" s="268" t="s">
        <v>5515</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5494</v>
      </c>
      <c r="B212" s="260" t="s">
        <v>5495</v>
      </c>
      <c r="C212" s="261" t="s">
        <v>5518</v>
      </c>
      <c r="D212" s="264" t="s">
        <v>5519</v>
      </c>
      <c r="E212" s="265" t="s">
        <v>5191</v>
      </c>
      <c r="F212" s="268" t="s">
        <v>5520</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5494</v>
      </c>
      <c r="B213" s="260" t="s">
        <v>5495</v>
      </c>
      <c r="C213" s="261" t="s">
        <v>5521</v>
      </c>
      <c r="D213" s="264" t="s">
        <v>5522</v>
      </c>
      <c r="E213" s="265" t="s">
        <v>5124</v>
      </c>
      <c r="F213" s="268" t="s">
        <v>5523</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5494</v>
      </c>
      <c r="B214" s="260" t="s">
        <v>5495</v>
      </c>
      <c r="C214" s="261" t="s">
        <v>5524</v>
      </c>
      <c r="D214" s="264" t="s">
        <v>5525</v>
      </c>
      <c r="E214" s="265" t="s">
        <v>5191</v>
      </c>
      <c r="F214" s="268" t="s">
        <v>5526</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5494</v>
      </c>
      <c r="B215" s="260" t="s">
        <v>5495</v>
      </c>
      <c r="C215" s="261" t="s">
        <v>5527</v>
      </c>
      <c r="D215" s="264" t="s">
        <v>5528</v>
      </c>
      <c r="E215" s="265" t="s">
        <v>5095</v>
      </c>
      <c r="F215" s="268" t="s">
        <v>5526</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5494</v>
      </c>
      <c r="B216" s="260" t="s">
        <v>5495</v>
      </c>
      <c r="C216" s="261" t="s">
        <v>5529</v>
      </c>
      <c r="D216" s="264" t="s">
        <v>5530</v>
      </c>
      <c r="E216" s="265" t="s">
        <v>5095</v>
      </c>
      <c r="F216" s="268" t="s">
        <v>5526</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5494</v>
      </c>
      <c r="B217" s="260" t="s">
        <v>5495</v>
      </c>
      <c r="C217" s="261" t="s">
        <v>5531</v>
      </c>
      <c r="D217" s="264" t="s">
        <v>5532</v>
      </c>
      <c r="E217" s="265" t="s">
        <v>5124</v>
      </c>
      <c r="F217" s="268" t="s">
        <v>5526</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5494</v>
      </c>
      <c r="B218" s="260" t="s">
        <v>5495</v>
      </c>
      <c r="C218" s="261" t="s">
        <v>5533</v>
      </c>
      <c r="D218" s="264" t="s">
        <v>5534</v>
      </c>
      <c r="E218" s="265" t="s">
        <v>5124</v>
      </c>
      <c r="F218" s="268" t="s">
        <v>5526</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5494</v>
      </c>
      <c r="B219" s="260" t="s">
        <v>5495</v>
      </c>
      <c r="C219" s="261" t="s">
        <v>5535</v>
      </c>
      <c r="D219" s="264" t="s">
        <v>5536</v>
      </c>
      <c r="E219" s="265" t="s">
        <v>5124</v>
      </c>
      <c r="F219" s="268" t="s">
        <v>5526</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5494</v>
      </c>
      <c r="B220" s="260" t="s">
        <v>5495</v>
      </c>
      <c r="C220" s="261" t="s">
        <v>5537</v>
      </c>
      <c r="D220" s="264" t="s">
        <v>5538</v>
      </c>
      <c r="E220" s="265" t="s">
        <v>5124</v>
      </c>
      <c r="F220" s="268" t="s">
        <v>5526</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5494</v>
      </c>
      <c r="B221" s="259" t="s">
        <v>5539</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5494</v>
      </c>
      <c r="B222" s="260" t="s">
        <v>5539</v>
      </c>
      <c r="C222" s="261" t="s">
        <v>5540</v>
      </c>
      <c r="D222" s="264" t="s">
        <v>5541</v>
      </c>
      <c r="E222" s="265" t="s">
        <v>5191</v>
      </c>
      <c r="F222" s="268" t="s">
        <v>5542</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5494</v>
      </c>
      <c r="B223" s="260" t="s">
        <v>5539</v>
      </c>
      <c r="C223" s="261" t="s">
        <v>5543</v>
      </c>
      <c r="D223" s="264" t="s">
        <v>5544</v>
      </c>
      <c r="E223" s="265" t="s">
        <v>5191</v>
      </c>
      <c r="F223" s="268" t="s">
        <v>5542</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5494</v>
      </c>
      <c r="B224" s="260" t="s">
        <v>5539</v>
      </c>
      <c r="C224" s="261" t="s">
        <v>5545</v>
      </c>
      <c r="D224" s="264" t="s">
        <v>5546</v>
      </c>
      <c r="E224" s="265" t="s">
        <v>5191</v>
      </c>
      <c r="F224" s="268" t="s">
        <v>5542</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5494</v>
      </c>
      <c r="B225" s="260" t="s">
        <v>5539</v>
      </c>
      <c r="C225" s="261" t="s">
        <v>5547</v>
      </c>
      <c r="D225" s="264" t="s">
        <v>5548</v>
      </c>
      <c r="E225" s="265" t="s">
        <v>5191</v>
      </c>
      <c r="F225" s="268" t="s">
        <v>5542</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5494</v>
      </c>
      <c r="B226" s="260" t="s">
        <v>5539</v>
      </c>
      <c r="C226" s="261" t="s">
        <v>5549</v>
      </c>
      <c r="D226" s="264" t="s">
        <v>5550</v>
      </c>
      <c r="E226" s="265" t="s">
        <v>5191</v>
      </c>
      <c r="F226" s="268" t="s">
        <v>5542</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5494</v>
      </c>
      <c r="B227" s="260" t="s">
        <v>5539</v>
      </c>
      <c r="C227" s="261" t="s">
        <v>5551</v>
      </c>
      <c r="D227" s="264" t="s">
        <v>5552</v>
      </c>
      <c r="E227" s="265" t="s">
        <v>5191</v>
      </c>
      <c r="F227" s="268" t="s">
        <v>5542</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5494</v>
      </c>
      <c r="B228" s="260" t="s">
        <v>5539</v>
      </c>
      <c r="C228" s="261" t="s">
        <v>5553</v>
      </c>
      <c r="D228" s="264" t="s">
        <v>5554</v>
      </c>
      <c r="E228" s="265" t="s">
        <v>5191</v>
      </c>
      <c r="F228" s="268" t="s">
        <v>5542</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5494</v>
      </c>
      <c r="B229" s="260" t="s">
        <v>5539</v>
      </c>
      <c r="C229" s="261" t="s">
        <v>5555</v>
      </c>
      <c r="D229" s="264" t="s">
        <v>5556</v>
      </c>
      <c r="E229" s="265" t="s">
        <v>5095</v>
      </c>
      <c r="F229" s="268" t="s">
        <v>5542</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5494</v>
      </c>
      <c r="B230" s="260" t="s">
        <v>5539</v>
      </c>
      <c r="C230" s="261" t="s">
        <v>5557</v>
      </c>
      <c r="D230" s="264" t="s">
        <v>5558</v>
      </c>
      <c r="E230" s="265" t="s">
        <v>5095</v>
      </c>
      <c r="F230" s="268" t="s">
        <v>5542</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5494</v>
      </c>
      <c r="B231" s="260" t="s">
        <v>5539</v>
      </c>
      <c r="C231" s="261" t="s">
        <v>5559</v>
      </c>
      <c r="D231" s="264" t="s">
        <v>5560</v>
      </c>
      <c r="E231" s="265" t="s">
        <v>5191</v>
      </c>
      <c r="F231" s="268" t="s">
        <v>5561</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5494</v>
      </c>
      <c r="B232" s="260" t="s">
        <v>5539</v>
      </c>
      <c r="C232" s="261" t="s">
        <v>5562</v>
      </c>
      <c r="D232" s="264" t="s">
        <v>5563</v>
      </c>
      <c r="E232" s="265" t="s">
        <v>5191</v>
      </c>
      <c r="F232" s="268" t="s">
        <v>5561</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5494</v>
      </c>
      <c r="B233" s="260" t="s">
        <v>5539</v>
      </c>
      <c r="C233" s="261" t="s">
        <v>5564</v>
      </c>
      <c r="D233" s="264" t="s">
        <v>5565</v>
      </c>
      <c r="E233" s="265" t="s">
        <v>5124</v>
      </c>
      <c r="F233" s="268" t="s">
        <v>5561</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5494</v>
      </c>
      <c r="B234" s="260" t="s">
        <v>5539</v>
      </c>
      <c r="C234" s="261" t="s">
        <v>5566</v>
      </c>
      <c r="D234" s="264" t="s">
        <v>5567</v>
      </c>
      <c r="E234" s="265" t="s">
        <v>5124</v>
      </c>
      <c r="F234" s="268" t="s">
        <v>5561</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5494</v>
      </c>
      <c r="B235" s="260" t="s">
        <v>5539</v>
      </c>
      <c r="C235" s="261" t="s">
        <v>5568</v>
      </c>
      <c r="D235" s="264" t="s">
        <v>5569</v>
      </c>
      <c r="E235" s="265" t="s">
        <v>5191</v>
      </c>
      <c r="F235" s="268" t="s">
        <v>5561</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5494</v>
      </c>
      <c r="B236" s="260" t="s">
        <v>5539</v>
      </c>
      <c r="C236" s="261" t="s">
        <v>5570</v>
      </c>
      <c r="D236" s="264" t="s">
        <v>5571</v>
      </c>
      <c r="E236" s="265" t="s">
        <v>5124</v>
      </c>
      <c r="F236" s="268" t="s">
        <v>5561</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5494</v>
      </c>
      <c r="B237" s="259" t="s">
        <v>1728</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5494</v>
      </c>
      <c r="B238" s="260" t="s">
        <v>1728</v>
      </c>
      <c r="C238" s="261" t="s">
        <v>5572</v>
      </c>
      <c r="D238" s="264" t="s">
        <v>5573</v>
      </c>
      <c r="E238" s="265" t="s">
        <v>5095</v>
      </c>
      <c r="F238" s="268" t="s">
        <v>5574</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5494</v>
      </c>
      <c r="B239" s="260" t="s">
        <v>1728</v>
      </c>
      <c r="C239" s="261" t="s">
        <v>5575</v>
      </c>
      <c r="D239" s="264" t="s">
        <v>5576</v>
      </c>
      <c r="E239" s="265" t="s">
        <v>5095</v>
      </c>
      <c r="F239" s="268" t="s">
        <v>5574</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5494</v>
      </c>
      <c r="B240" s="260" t="s">
        <v>1728</v>
      </c>
      <c r="C240" s="261" t="s">
        <v>5577</v>
      </c>
      <c r="D240" s="264" t="s">
        <v>5578</v>
      </c>
      <c r="E240" s="265" t="s">
        <v>5095</v>
      </c>
      <c r="F240" s="268" t="s">
        <v>5574</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5494</v>
      </c>
      <c r="B241" s="260" t="s">
        <v>1728</v>
      </c>
      <c r="C241" s="261" t="s">
        <v>5579</v>
      </c>
      <c r="D241" s="264" t="s">
        <v>5580</v>
      </c>
      <c r="E241" s="265" t="s">
        <v>5095</v>
      </c>
      <c r="F241" s="268" t="s">
        <v>5574</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5494</v>
      </c>
      <c r="B242" s="260" t="s">
        <v>1728</v>
      </c>
      <c r="C242" s="261" t="s">
        <v>5581</v>
      </c>
      <c r="D242" s="264" t="s">
        <v>5582</v>
      </c>
      <c r="E242" s="265" t="s">
        <v>5095</v>
      </c>
      <c r="F242" s="268" t="s">
        <v>5574</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5494</v>
      </c>
      <c r="B243" s="260" t="s">
        <v>1728</v>
      </c>
      <c r="C243" s="261" t="s">
        <v>5583</v>
      </c>
      <c r="D243" s="264" t="s">
        <v>5584</v>
      </c>
      <c r="E243" s="265" t="s">
        <v>5095</v>
      </c>
      <c r="F243" s="268" t="s">
        <v>5574</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5494</v>
      </c>
      <c r="B244" s="260" t="s">
        <v>1728</v>
      </c>
      <c r="C244" s="261" t="s">
        <v>5585</v>
      </c>
      <c r="D244" s="264" t="s">
        <v>5586</v>
      </c>
      <c r="E244" s="265" t="s">
        <v>5095</v>
      </c>
      <c r="F244" s="268" t="s">
        <v>5574</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5494</v>
      </c>
      <c r="B245" s="260" t="s">
        <v>1728</v>
      </c>
      <c r="C245" s="261" t="s">
        <v>5587</v>
      </c>
      <c r="D245" s="264" t="s">
        <v>5588</v>
      </c>
      <c r="E245" s="265" t="s">
        <v>5095</v>
      </c>
      <c r="F245" s="268" t="s">
        <v>5574</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5494</v>
      </c>
      <c r="B246" s="260" t="s">
        <v>1728</v>
      </c>
      <c r="C246" s="261" t="s">
        <v>5589</v>
      </c>
      <c r="D246" s="264" t="s">
        <v>5590</v>
      </c>
      <c r="E246" s="265" t="s">
        <v>5095</v>
      </c>
      <c r="F246" s="268" t="s">
        <v>5574</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5494</v>
      </c>
      <c r="B247" s="260" t="s">
        <v>1728</v>
      </c>
      <c r="C247" s="261" t="s">
        <v>5591</v>
      </c>
      <c r="D247" s="264" t="s">
        <v>5592</v>
      </c>
      <c r="E247" s="265" t="s">
        <v>5095</v>
      </c>
      <c r="F247" s="268" t="s">
        <v>5574</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5494</v>
      </c>
      <c r="B248" s="260" t="s">
        <v>1728</v>
      </c>
      <c r="C248" s="261" t="s">
        <v>5593</v>
      </c>
      <c r="D248" s="264" t="s">
        <v>5594</v>
      </c>
      <c r="E248" s="265" t="s">
        <v>5124</v>
      </c>
      <c r="F248" s="268" t="s">
        <v>5574</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5494</v>
      </c>
      <c r="B249" s="260" t="s">
        <v>1728</v>
      </c>
      <c r="C249" s="261" t="s">
        <v>5595</v>
      </c>
      <c r="D249" s="264" t="s">
        <v>5596</v>
      </c>
      <c r="E249" s="265" t="s">
        <v>5124</v>
      </c>
      <c r="F249" s="268" t="s">
        <v>5597</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5494</v>
      </c>
      <c r="B250" s="260" t="s">
        <v>1728</v>
      </c>
      <c r="C250" s="261" t="s">
        <v>5598</v>
      </c>
      <c r="D250" s="264" t="s">
        <v>5599</v>
      </c>
      <c r="E250" s="265" t="s">
        <v>5124</v>
      </c>
      <c r="F250" s="268" t="s">
        <v>5597</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5494</v>
      </c>
      <c r="B251" s="259" t="s">
        <v>5600</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5494</v>
      </c>
      <c r="B252" s="260" t="s">
        <v>5600</v>
      </c>
      <c r="C252" s="261" t="s">
        <v>5601</v>
      </c>
      <c r="D252" s="264" t="s">
        <v>5602</v>
      </c>
      <c r="E252" s="265" t="s">
        <v>5191</v>
      </c>
      <c r="F252" s="268" t="s">
        <v>5603</v>
      </c>
      <c r="G252" s="271">
        <f>IF(COUNTIF(H252:AU252,"&lt;&gt;")=0,"",SUMPRODUCT(((Recommendations[ImplStatus]="Implemented")+(Recommendations[ImplStatus]="Compensated"))*ISNUMBER(MATCH(Recommendations[Id],H252:AU252,0)))/COUNTIF(H252:AU252,"&lt;&gt;"))</f>
        <v>0</v>
      </c>
      <c r="H252" s="272" t="s">
        <v>316</v>
      </c>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5494</v>
      </c>
      <c r="B253" s="260" t="s">
        <v>5600</v>
      </c>
      <c r="C253" s="261" t="s">
        <v>5604</v>
      </c>
      <c r="D253" s="264" t="s">
        <v>5605</v>
      </c>
      <c r="E253" s="265" t="s">
        <v>5191</v>
      </c>
      <c r="F253" s="268" t="s">
        <v>5603</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5494</v>
      </c>
      <c r="B254" s="260" t="s">
        <v>5600</v>
      </c>
      <c r="C254" s="261" t="s">
        <v>5606</v>
      </c>
      <c r="D254" s="264" t="s">
        <v>5607</v>
      </c>
      <c r="E254" s="265" t="s">
        <v>5191</v>
      </c>
      <c r="F254" s="268" t="s">
        <v>5603</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5494</v>
      </c>
      <c r="B255" s="260" t="s">
        <v>5600</v>
      </c>
      <c r="C255" s="261" t="s">
        <v>5608</v>
      </c>
      <c r="D255" s="264" t="s">
        <v>5609</v>
      </c>
      <c r="E255" s="265" t="s">
        <v>5191</v>
      </c>
      <c r="F255" s="268" t="s">
        <v>5603</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5494</v>
      </c>
      <c r="B256" s="260" t="s">
        <v>5600</v>
      </c>
      <c r="C256" s="261" t="s">
        <v>5610</v>
      </c>
      <c r="D256" s="264" t="s">
        <v>5611</v>
      </c>
      <c r="E256" s="265" t="s">
        <v>5191</v>
      </c>
      <c r="F256" s="268" t="s">
        <v>5603</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5494</v>
      </c>
      <c r="B257" s="260" t="s">
        <v>5600</v>
      </c>
      <c r="C257" s="261" t="s">
        <v>5612</v>
      </c>
      <c r="D257" s="264" t="s">
        <v>5613</v>
      </c>
      <c r="E257" s="265" t="s">
        <v>5095</v>
      </c>
      <c r="F257" s="268" t="s">
        <v>5603</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5494</v>
      </c>
      <c r="B258" s="260" t="s">
        <v>5600</v>
      </c>
      <c r="C258" s="261" t="s">
        <v>5614</v>
      </c>
      <c r="D258" s="264" t="s">
        <v>5615</v>
      </c>
      <c r="E258" s="265" t="s">
        <v>5095</v>
      </c>
      <c r="F258" s="268" t="s">
        <v>5603</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5494</v>
      </c>
      <c r="B259" s="260" t="s">
        <v>5600</v>
      </c>
      <c r="C259" s="261" t="s">
        <v>5616</v>
      </c>
      <c r="D259" s="264" t="s">
        <v>5617</v>
      </c>
      <c r="E259" s="265" t="s">
        <v>5095</v>
      </c>
      <c r="F259" s="268" t="s">
        <v>5603</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5494</v>
      </c>
      <c r="B260" s="260" t="s">
        <v>5600</v>
      </c>
      <c r="C260" s="261" t="s">
        <v>5618</v>
      </c>
      <c r="D260" s="264" t="s">
        <v>5619</v>
      </c>
      <c r="E260" s="265" t="s">
        <v>5095</v>
      </c>
      <c r="F260" s="268" t="s">
        <v>5603</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5494</v>
      </c>
      <c r="B261" s="260" t="s">
        <v>5600</v>
      </c>
      <c r="C261" s="261" t="s">
        <v>5620</v>
      </c>
      <c r="D261" s="264" t="s">
        <v>5621</v>
      </c>
      <c r="E261" s="265" t="s">
        <v>5239</v>
      </c>
      <c r="F261" s="268" t="s">
        <v>5603</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5494</v>
      </c>
      <c r="B262" s="260" t="s">
        <v>5600</v>
      </c>
      <c r="C262" s="261" t="s">
        <v>5622</v>
      </c>
      <c r="D262" s="264" t="s">
        <v>5623</v>
      </c>
      <c r="E262" s="265" t="s">
        <v>5239</v>
      </c>
      <c r="F262" s="268" t="s">
        <v>5603</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5494</v>
      </c>
      <c r="B263" s="260" t="s">
        <v>5600</v>
      </c>
      <c r="C263" s="261" t="s">
        <v>5624</v>
      </c>
      <c r="D263" s="264" t="s">
        <v>5625</v>
      </c>
      <c r="E263" s="265" t="s">
        <v>5239</v>
      </c>
      <c r="F263" s="268" t="s">
        <v>5603</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5494</v>
      </c>
      <c r="B264" s="259" t="s">
        <v>5626</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5494</v>
      </c>
      <c r="B265" s="260" t="s">
        <v>5626</v>
      </c>
      <c r="C265" s="261" t="s">
        <v>5627</v>
      </c>
      <c r="D265" s="264" t="s">
        <v>5628</v>
      </c>
      <c r="E265" s="265" t="s">
        <v>5124</v>
      </c>
      <c r="F265" s="268" t="s">
        <v>5629</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5494</v>
      </c>
      <c r="B266" s="260" t="s">
        <v>5626</v>
      </c>
      <c r="C266" s="261" t="s">
        <v>5630</v>
      </c>
      <c r="D266" s="264" t="s">
        <v>5631</v>
      </c>
      <c r="E266" s="265" t="s">
        <v>5124</v>
      </c>
      <c r="F266" s="268" t="s">
        <v>5629</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5494</v>
      </c>
      <c r="B267" s="260" t="s">
        <v>5626</v>
      </c>
      <c r="C267" s="261" t="s">
        <v>5632</v>
      </c>
      <c r="D267" s="264" t="s">
        <v>5633</v>
      </c>
      <c r="E267" s="265" t="s">
        <v>5124</v>
      </c>
      <c r="F267" s="268" t="s">
        <v>5629</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5494</v>
      </c>
      <c r="B268" s="260" t="s">
        <v>5626</v>
      </c>
      <c r="C268" s="261" t="s">
        <v>5634</v>
      </c>
      <c r="D268" s="264" t="s">
        <v>5635</v>
      </c>
      <c r="E268" s="265" t="s">
        <v>5124</v>
      </c>
      <c r="F268" s="268" t="s">
        <v>5629</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5494</v>
      </c>
      <c r="B269" s="260" t="s">
        <v>5626</v>
      </c>
      <c r="C269" s="261" t="s">
        <v>5636</v>
      </c>
      <c r="D269" s="264" t="s">
        <v>5637</v>
      </c>
      <c r="E269" s="265" t="s">
        <v>5124</v>
      </c>
      <c r="F269" s="268" t="s">
        <v>5629</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5494</v>
      </c>
      <c r="B270" s="260" t="s">
        <v>5626</v>
      </c>
      <c r="C270" s="261" t="s">
        <v>5638</v>
      </c>
      <c r="D270" s="264" t="s">
        <v>5639</v>
      </c>
      <c r="E270" s="265" t="s">
        <v>5124</v>
      </c>
      <c r="F270" s="268" t="s">
        <v>5629</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5494</v>
      </c>
      <c r="B271" s="260" t="s">
        <v>5626</v>
      </c>
      <c r="C271" s="261" t="s">
        <v>5640</v>
      </c>
      <c r="D271" s="264" t="s">
        <v>5641</v>
      </c>
      <c r="E271" s="265" t="s">
        <v>5124</v>
      </c>
      <c r="F271" s="268" t="s">
        <v>5629</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5494</v>
      </c>
      <c r="B272" s="260" t="s">
        <v>5626</v>
      </c>
      <c r="C272" s="261" t="s">
        <v>5642</v>
      </c>
      <c r="D272" s="264" t="s">
        <v>5643</v>
      </c>
      <c r="E272" s="265" t="s">
        <v>5124</v>
      </c>
      <c r="F272" s="268" t="s">
        <v>5629</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5494</v>
      </c>
      <c r="B273" s="260" t="s">
        <v>5626</v>
      </c>
      <c r="C273" s="261" t="s">
        <v>5644</v>
      </c>
      <c r="D273" s="264" t="s">
        <v>5645</v>
      </c>
      <c r="E273" s="265" t="s">
        <v>5124</v>
      </c>
      <c r="F273" s="268" t="s">
        <v>5629</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5646</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5646</v>
      </c>
      <c r="B275" s="259" t="s">
        <v>5647</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5646</v>
      </c>
      <c r="B276" s="260" t="s">
        <v>5647</v>
      </c>
      <c r="C276" s="261" t="s">
        <v>5648</v>
      </c>
      <c r="D276" s="264" t="s">
        <v>5649</v>
      </c>
      <c r="E276" s="265" t="s">
        <v>5095</v>
      </c>
      <c r="F276" s="268" t="s">
        <v>5650</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5646</v>
      </c>
      <c r="B277" s="260" t="s">
        <v>5647</v>
      </c>
      <c r="C277" s="261" t="s">
        <v>5651</v>
      </c>
      <c r="D277" s="264" t="s">
        <v>5652</v>
      </c>
      <c r="E277" s="265" t="s">
        <v>5095</v>
      </c>
      <c r="F277" s="268" t="s">
        <v>5650</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5646</v>
      </c>
      <c r="B278" s="260" t="s">
        <v>5647</v>
      </c>
      <c r="C278" s="261" t="s">
        <v>5653</v>
      </c>
      <c r="D278" s="264" t="s">
        <v>5654</v>
      </c>
      <c r="E278" s="265" t="s">
        <v>5095</v>
      </c>
      <c r="F278" s="268" t="s">
        <v>5650</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5646</v>
      </c>
      <c r="B279" s="260" t="s">
        <v>5647</v>
      </c>
      <c r="C279" s="261" t="s">
        <v>5655</v>
      </c>
      <c r="D279" s="264" t="s">
        <v>5656</v>
      </c>
      <c r="E279" s="265" t="s">
        <v>5095</v>
      </c>
      <c r="F279" s="268" t="s">
        <v>5650</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5646</v>
      </c>
      <c r="B280" s="260" t="s">
        <v>5647</v>
      </c>
      <c r="C280" s="261" t="s">
        <v>5657</v>
      </c>
      <c r="D280" s="264" t="s">
        <v>5658</v>
      </c>
      <c r="E280" s="265" t="s">
        <v>5095</v>
      </c>
      <c r="F280" s="268" t="s">
        <v>5650</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5646</v>
      </c>
      <c r="B281" s="260" t="s">
        <v>5647</v>
      </c>
      <c r="C281" s="261" t="s">
        <v>5659</v>
      </c>
      <c r="D281" s="264" t="s">
        <v>5660</v>
      </c>
      <c r="E281" s="265" t="s">
        <v>5095</v>
      </c>
      <c r="F281" s="268" t="s">
        <v>5650</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5646</v>
      </c>
      <c r="B282" s="260" t="s">
        <v>5647</v>
      </c>
      <c r="C282" s="261" t="s">
        <v>5661</v>
      </c>
      <c r="D282" s="264" t="s">
        <v>5662</v>
      </c>
      <c r="E282" s="265" t="s">
        <v>5095</v>
      </c>
      <c r="F282" s="268" t="s">
        <v>5650</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5646</v>
      </c>
      <c r="B283" s="260" t="s">
        <v>5647</v>
      </c>
      <c r="C283" s="261" t="s">
        <v>5663</v>
      </c>
      <c r="D283" s="264" t="s">
        <v>5664</v>
      </c>
      <c r="E283" s="265" t="s">
        <v>5191</v>
      </c>
      <c r="F283" s="268" t="s">
        <v>5665</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5646</v>
      </c>
      <c r="B284" s="260" t="s">
        <v>5647</v>
      </c>
      <c r="C284" s="261" t="s">
        <v>5666</v>
      </c>
      <c r="D284" s="264" t="s">
        <v>5667</v>
      </c>
      <c r="E284" s="265" t="s">
        <v>5191</v>
      </c>
      <c r="F284" s="268" t="s">
        <v>5665</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5646</v>
      </c>
      <c r="B285" s="260" t="s">
        <v>5647</v>
      </c>
      <c r="C285" s="261" t="s">
        <v>5668</v>
      </c>
      <c r="D285" s="264" t="s">
        <v>5669</v>
      </c>
      <c r="E285" s="265" t="s">
        <v>5095</v>
      </c>
      <c r="F285" s="268" t="s">
        <v>5665</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5646</v>
      </c>
      <c r="B286" s="260" t="s">
        <v>5647</v>
      </c>
      <c r="C286" s="261" t="s">
        <v>5670</v>
      </c>
      <c r="D286" s="264" t="s">
        <v>5671</v>
      </c>
      <c r="E286" s="265" t="s">
        <v>5124</v>
      </c>
      <c r="F286" s="268" t="s">
        <v>5665</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5646</v>
      </c>
      <c r="B287" s="260" t="s">
        <v>5647</v>
      </c>
      <c r="C287" s="261" t="s">
        <v>5672</v>
      </c>
      <c r="D287" s="264" t="s">
        <v>5673</v>
      </c>
      <c r="E287" s="265" t="s">
        <v>5124</v>
      </c>
      <c r="F287" s="268" t="s">
        <v>5665</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5646</v>
      </c>
      <c r="B288" s="260" t="s">
        <v>5647</v>
      </c>
      <c r="C288" s="261" t="s">
        <v>5674</v>
      </c>
      <c r="D288" s="264" t="s">
        <v>5675</v>
      </c>
      <c r="E288" s="265" t="s">
        <v>5124</v>
      </c>
      <c r="F288" s="268" t="s">
        <v>5665</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5646</v>
      </c>
      <c r="B289" s="260" t="s">
        <v>5647</v>
      </c>
      <c r="C289" s="261" t="s">
        <v>5676</v>
      </c>
      <c r="D289" s="264" t="s">
        <v>5677</v>
      </c>
      <c r="E289" s="265" t="s">
        <v>5124</v>
      </c>
      <c r="F289" s="268" t="s">
        <v>5665</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5646</v>
      </c>
      <c r="B290" s="260" t="s">
        <v>5647</v>
      </c>
      <c r="C290" s="261" t="s">
        <v>5678</v>
      </c>
      <c r="D290" s="264" t="s">
        <v>5679</v>
      </c>
      <c r="E290" s="265" t="s">
        <v>5095</v>
      </c>
      <c r="F290" s="268" t="s">
        <v>5665</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5646</v>
      </c>
      <c r="B291" s="260" t="s">
        <v>5647</v>
      </c>
      <c r="C291" s="261" t="s">
        <v>5680</v>
      </c>
      <c r="D291" s="264" t="s">
        <v>5681</v>
      </c>
      <c r="E291" s="265" t="s">
        <v>5124</v>
      </c>
      <c r="F291" s="268" t="s">
        <v>5682</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5646</v>
      </c>
      <c r="B292" s="260" t="s">
        <v>5647</v>
      </c>
      <c r="C292" s="261" t="s">
        <v>5683</v>
      </c>
      <c r="D292" s="264" t="s">
        <v>5684</v>
      </c>
      <c r="E292" s="265" t="s">
        <v>5124</v>
      </c>
      <c r="F292" s="268" t="s">
        <v>5682</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5646</v>
      </c>
      <c r="B293" s="260" t="s">
        <v>5647</v>
      </c>
      <c r="C293" s="261" t="s">
        <v>5685</v>
      </c>
      <c r="D293" s="264" t="s">
        <v>5686</v>
      </c>
      <c r="E293" s="265" t="s">
        <v>5374</v>
      </c>
      <c r="F293" s="268" t="s">
        <v>5665</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5646</v>
      </c>
      <c r="B294" s="260" t="s">
        <v>5647</v>
      </c>
      <c r="C294" s="261" t="s">
        <v>5687</v>
      </c>
      <c r="D294" s="264" t="s">
        <v>5688</v>
      </c>
      <c r="E294" s="265" t="s">
        <v>5374</v>
      </c>
      <c r="F294" s="268" t="s">
        <v>5665</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5646</v>
      </c>
      <c r="B295" s="260" t="s">
        <v>5647</v>
      </c>
      <c r="C295" s="261" t="s">
        <v>5689</v>
      </c>
      <c r="D295" s="264" t="s">
        <v>5690</v>
      </c>
      <c r="E295" s="265" t="s">
        <v>5191</v>
      </c>
      <c r="F295" s="268" t="s">
        <v>5665</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5646</v>
      </c>
      <c r="B296" s="260" t="s">
        <v>5647</v>
      </c>
      <c r="C296" s="261" t="s">
        <v>5691</v>
      </c>
      <c r="D296" s="264" t="s">
        <v>5692</v>
      </c>
      <c r="E296" s="265" t="s">
        <v>5191</v>
      </c>
      <c r="F296" s="268" t="s">
        <v>5665</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5646</v>
      </c>
      <c r="B297" s="260" t="s">
        <v>5647</v>
      </c>
      <c r="C297" s="261" t="s">
        <v>5693</v>
      </c>
      <c r="D297" s="264" t="s">
        <v>5694</v>
      </c>
      <c r="E297" s="265" t="s">
        <v>5095</v>
      </c>
      <c r="F297" s="268" t="s">
        <v>5665</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5646</v>
      </c>
      <c r="B298" s="260" t="s">
        <v>5647</v>
      </c>
      <c r="C298" s="261" t="s">
        <v>5695</v>
      </c>
      <c r="D298" s="264" t="s">
        <v>5696</v>
      </c>
      <c r="E298" s="265" t="s">
        <v>5191</v>
      </c>
      <c r="F298" s="268" t="s">
        <v>5665</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5646</v>
      </c>
      <c r="B299" s="260" t="s">
        <v>5647</v>
      </c>
      <c r="C299" s="261" t="s">
        <v>5697</v>
      </c>
      <c r="D299" s="264" t="s">
        <v>5698</v>
      </c>
      <c r="E299" s="265" t="s">
        <v>5124</v>
      </c>
      <c r="F299" s="268" t="s">
        <v>5665</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5646</v>
      </c>
      <c r="B300" s="260" t="s">
        <v>5647</v>
      </c>
      <c r="C300" s="261" t="s">
        <v>5699</v>
      </c>
      <c r="D300" s="264" t="s">
        <v>5700</v>
      </c>
      <c r="E300" s="265" t="s">
        <v>5191</v>
      </c>
      <c r="F300" s="268" t="s">
        <v>5665</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5646</v>
      </c>
      <c r="B301" s="260" t="s">
        <v>5647</v>
      </c>
      <c r="C301" s="261" t="s">
        <v>5701</v>
      </c>
      <c r="D301" s="264" t="s">
        <v>5702</v>
      </c>
      <c r="E301" s="265" t="s">
        <v>5239</v>
      </c>
      <c r="F301" s="268" t="s">
        <v>5665</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5646</v>
      </c>
      <c r="B302" s="260" t="s">
        <v>5647</v>
      </c>
      <c r="C302" s="261" t="s">
        <v>5703</v>
      </c>
      <c r="D302" s="264" t="s">
        <v>5704</v>
      </c>
      <c r="E302" s="265" t="s">
        <v>5239</v>
      </c>
      <c r="F302" s="268" t="s">
        <v>5665</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5646</v>
      </c>
      <c r="B303" s="259" t="s">
        <v>1461</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5646</v>
      </c>
      <c r="B304" s="260" t="s">
        <v>1461</v>
      </c>
      <c r="C304" s="261" t="s">
        <v>5705</v>
      </c>
      <c r="D304" s="264" t="s">
        <v>5706</v>
      </c>
      <c r="E304" s="265" t="s">
        <v>5095</v>
      </c>
      <c r="F304" s="268" t="s">
        <v>5707</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5646</v>
      </c>
      <c r="B305" s="260" t="s">
        <v>1461</v>
      </c>
      <c r="C305" s="261" t="s">
        <v>5708</v>
      </c>
      <c r="D305" s="264" t="s">
        <v>5709</v>
      </c>
      <c r="E305" s="265" t="s">
        <v>5095</v>
      </c>
      <c r="F305" s="268" t="s">
        <v>5707</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5646</v>
      </c>
      <c r="B306" s="260" t="s">
        <v>1461</v>
      </c>
      <c r="C306" s="261" t="s">
        <v>5710</v>
      </c>
      <c r="D306" s="264" t="s">
        <v>5711</v>
      </c>
      <c r="E306" s="265" t="s">
        <v>5095</v>
      </c>
      <c r="F306" s="268" t="s">
        <v>5707</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5646</v>
      </c>
      <c r="B307" s="260" t="s">
        <v>1461</v>
      </c>
      <c r="C307" s="261" t="s">
        <v>5712</v>
      </c>
      <c r="D307" s="264" t="s">
        <v>5713</v>
      </c>
      <c r="E307" s="265" t="s">
        <v>5095</v>
      </c>
      <c r="F307" s="268" t="s">
        <v>5707</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5646</v>
      </c>
      <c r="B308" s="260" t="s">
        <v>1461</v>
      </c>
      <c r="C308" s="261" t="s">
        <v>5714</v>
      </c>
      <c r="D308" s="264" t="s">
        <v>5715</v>
      </c>
      <c r="E308" s="265" t="s">
        <v>5191</v>
      </c>
      <c r="F308" s="268" t="s">
        <v>5707</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5646</v>
      </c>
      <c r="B309" s="260" t="s">
        <v>1461</v>
      </c>
      <c r="C309" s="261" t="s">
        <v>5716</v>
      </c>
      <c r="D309" s="264" t="s">
        <v>5717</v>
      </c>
      <c r="E309" s="265" t="s">
        <v>5191</v>
      </c>
      <c r="F309" s="268" t="s">
        <v>5707</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5646</v>
      </c>
      <c r="B310" s="260" t="s">
        <v>1461</v>
      </c>
      <c r="C310" s="261" t="s">
        <v>5718</v>
      </c>
      <c r="D310" s="264" t="s">
        <v>5719</v>
      </c>
      <c r="E310" s="265" t="s">
        <v>5191</v>
      </c>
      <c r="F310" s="268" t="s">
        <v>5707</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5646</v>
      </c>
      <c r="B311" s="260" t="s">
        <v>1461</v>
      </c>
      <c r="C311" s="261" t="s">
        <v>5720</v>
      </c>
      <c r="D311" s="264" t="s">
        <v>5721</v>
      </c>
      <c r="E311" s="265" t="s">
        <v>5191</v>
      </c>
      <c r="F311" s="268" t="s">
        <v>5707</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5646</v>
      </c>
      <c r="B312" s="260" t="s">
        <v>1461</v>
      </c>
      <c r="C312" s="261" t="s">
        <v>5722</v>
      </c>
      <c r="D312" s="264" t="s">
        <v>5723</v>
      </c>
      <c r="E312" s="265" t="s">
        <v>5191</v>
      </c>
      <c r="F312" s="268" t="s">
        <v>5707</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5646</v>
      </c>
      <c r="B313" s="260" t="s">
        <v>1461</v>
      </c>
      <c r="C313" s="261" t="s">
        <v>5724</v>
      </c>
      <c r="D313" s="264" t="s">
        <v>5725</v>
      </c>
      <c r="E313" s="265" t="s">
        <v>5124</v>
      </c>
      <c r="F313" s="268" t="s">
        <v>5707</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5646</v>
      </c>
      <c r="B314" s="260" t="s">
        <v>1461</v>
      </c>
      <c r="C314" s="261" t="s">
        <v>5726</v>
      </c>
      <c r="D314" s="264" t="s">
        <v>5727</v>
      </c>
      <c r="E314" s="265" t="s">
        <v>5124</v>
      </c>
      <c r="F314" s="268" t="s">
        <v>5707</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5646</v>
      </c>
      <c r="B315" s="260" t="s">
        <v>1461</v>
      </c>
      <c r="C315" s="261" t="s">
        <v>5728</v>
      </c>
      <c r="D315" s="264" t="s">
        <v>5729</v>
      </c>
      <c r="E315" s="265" t="s">
        <v>5124</v>
      </c>
      <c r="F315" s="268" t="s">
        <v>5707</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5646</v>
      </c>
      <c r="B316" s="260" t="s">
        <v>1461</v>
      </c>
      <c r="C316" s="261" t="s">
        <v>5730</v>
      </c>
      <c r="D316" s="264" t="s">
        <v>5731</v>
      </c>
      <c r="E316" s="265" t="s">
        <v>5124</v>
      </c>
      <c r="F316" s="268" t="s">
        <v>5707</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5646</v>
      </c>
      <c r="B317" s="260" t="s">
        <v>1461</v>
      </c>
      <c r="C317" s="261" t="s">
        <v>5732</v>
      </c>
      <c r="D317" s="264" t="s">
        <v>5733</v>
      </c>
      <c r="E317" s="265" t="s">
        <v>5191</v>
      </c>
      <c r="F317" s="268" t="s">
        <v>5665</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5646</v>
      </c>
      <c r="B318" s="260" t="s">
        <v>1461</v>
      </c>
      <c r="C318" s="261" t="s">
        <v>5734</v>
      </c>
      <c r="D318" s="264" t="s">
        <v>5735</v>
      </c>
      <c r="E318" s="265" t="s">
        <v>5239</v>
      </c>
      <c r="F318" s="268" t="s">
        <v>5665</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5646</v>
      </c>
      <c r="B319" s="260" t="s">
        <v>1461</v>
      </c>
      <c r="C319" s="261" t="s">
        <v>5736</v>
      </c>
      <c r="D319" s="264" t="s">
        <v>5737</v>
      </c>
      <c r="E319" s="265" t="s">
        <v>5239</v>
      </c>
      <c r="F319" s="268" t="s">
        <v>5665</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5646</v>
      </c>
      <c r="B320" s="259" t="s">
        <v>5738</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5646</v>
      </c>
      <c r="B321" s="260" t="s">
        <v>5738</v>
      </c>
      <c r="C321" s="261" t="s">
        <v>5739</v>
      </c>
      <c r="D321" s="264" t="s">
        <v>5740</v>
      </c>
      <c r="E321" s="265" t="s">
        <v>5124</v>
      </c>
      <c r="F321" s="268" t="s">
        <v>5741</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5646</v>
      </c>
      <c r="B322" s="260" t="s">
        <v>5738</v>
      </c>
      <c r="C322" s="261" t="s">
        <v>5742</v>
      </c>
      <c r="D322" s="264" t="s">
        <v>5743</v>
      </c>
      <c r="E322" s="265" t="s">
        <v>5124</v>
      </c>
      <c r="F322" s="268" t="s">
        <v>5741</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5646</v>
      </c>
      <c r="B323" s="260" t="s">
        <v>5738</v>
      </c>
      <c r="C323" s="261" t="s">
        <v>5744</v>
      </c>
      <c r="D323" s="264" t="s">
        <v>5745</v>
      </c>
      <c r="E323" s="265" t="s">
        <v>5124</v>
      </c>
      <c r="F323" s="268" t="s">
        <v>5741</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5646</v>
      </c>
      <c r="B324" s="260" t="s">
        <v>5738</v>
      </c>
      <c r="C324" s="261" t="s">
        <v>5746</v>
      </c>
      <c r="D324" s="264" t="s">
        <v>5747</v>
      </c>
      <c r="E324" s="265" t="s">
        <v>5124</v>
      </c>
      <c r="F324" s="268" t="s">
        <v>5741</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5646</v>
      </c>
      <c r="B325" s="260" t="s">
        <v>5738</v>
      </c>
      <c r="C325" s="261" t="s">
        <v>5748</v>
      </c>
      <c r="D325" s="264" t="s">
        <v>5749</v>
      </c>
      <c r="E325" s="265" t="s">
        <v>5124</v>
      </c>
      <c r="F325" s="268" t="s">
        <v>5741</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5646</v>
      </c>
      <c r="B326" s="260" t="s">
        <v>5738</v>
      </c>
      <c r="C326" s="261" t="s">
        <v>5750</v>
      </c>
      <c r="D326" s="264" t="s">
        <v>5751</v>
      </c>
      <c r="E326" s="265" t="s">
        <v>5124</v>
      </c>
      <c r="F326" s="268" t="s">
        <v>5741</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5646</v>
      </c>
      <c r="B327" s="260" t="s">
        <v>5738</v>
      </c>
      <c r="C327" s="261" t="s">
        <v>5752</v>
      </c>
      <c r="D327" s="264" t="s">
        <v>5753</v>
      </c>
      <c r="E327" s="265" t="s">
        <v>5124</v>
      </c>
      <c r="F327" s="268" t="s">
        <v>5741</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5646</v>
      </c>
      <c r="B328" s="260" t="s">
        <v>5738</v>
      </c>
      <c r="C328" s="261" t="s">
        <v>5754</v>
      </c>
      <c r="D328" s="264" t="s">
        <v>5755</v>
      </c>
      <c r="E328" s="265" t="s">
        <v>5124</v>
      </c>
      <c r="F328" s="268" t="s">
        <v>5741</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5646</v>
      </c>
      <c r="B329" s="260" t="s">
        <v>5738</v>
      </c>
      <c r="C329" s="261" t="s">
        <v>5756</v>
      </c>
      <c r="D329" s="264" t="s">
        <v>5757</v>
      </c>
      <c r="E329" s="265" t="s">
        <v>5124</v>
      </c>
      <c r="F329" s="268" t="s">
        <v>5741</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5646</v>
      </c>
      <c r="B330" s="260" t="s">
        <v>5738</v>
      </c>
      <c r="C330" s="261" t="s">
        <v>5758</v>
      </c>
      <c r="D330" s="264" t="s">
        <v>5759</v>
      </c>
      <c r="E330" s="265" t="s">
        <v>5124</v>
      </c>
      <c r="F330" s="268" t="s">
        <v>5741</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5646</v>
      </c>
      <c r="B331" s="260" t="s">
        <v>5738</v>
      </c>
      <c r="C331" s="261" t="s">
        <v>5760</v>
      </c>
      <c r="D331" s="264" t="s">
        <v>5761</v>
      </c>
      <c r="E331" s="265" t="s">
        <v>5124</v>
      </c>
      <c r="F331" s="268" t="s">
        <v>5741</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5646</v>
      </c>
      <c r="B332" s="260" t="s">
        <v>5738</v>
      </c>
      <c r="C332" s="261" t="s">
        <v>5762</v>
      </c>
      <c r="D332" s="264" t="s">
        <v>5763</v>
      </c>
      <c r="E332" s="265" t="s">
        <v>5124</v>
      </c>
      <c r="F332" s="268" t="s">
        <v>5741</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5646</v>
      </c>
      <c r="B333" s="260" t="s">
        <v>5738</v>
      </c>
      <c r="C333" s="261" t="s">
        <v>5764</v>
      </c>
      <c r="D333" s="264" t="s">
        <v>5765</v>
      </c>
      <c r="E333" s="265" t="s">
        <v>5124</v>
      </c>
      <c r="F333" s="268" t="s">
        <v>5741</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5646</v>
      </c>
      <c r="B334" s="260" t="s">
        <v>5738</v>
      </c>
      <c r="C334" s="261" t="s">
        <v>5766</v>
      </c>
      <c r="D334" s="264" t="s">
        <v>5767</v>
      </c>
      <c r="E334" s="265" t="s">
        <v>5124</v>
      </c>
      <c r="F334" s="268" t="s">
        <v>5741</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5646</v>
      </c>
      <c r="B335" s="260" t="s">
        <v>5738</v>
      </c>
      <c r="C335" s="261" t="s">
        <v>5768</v>
      </c>
      <c r="D335" s="264" t="s">
        <v>5769</v>
      </c>
      <c r="E335" s="265" t="s">
        <v>5124</v>
      </c>
      <c r="F335" s="268" t="s">
        <v>5741</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5646</v>
      </c>
      <c r="B336" s="260" t="s">
        <v>5738</v>
      </c>
      <c r="C336" s="261" t="s">
        <v>5770</v>
      </c>
      <c r="D336" s="264" t="s">
        <v>5771</v>
      </c>
      <c r="E336" s="265" t="s">
        <v>5239</v>
      </c>
      <c r="F336" s="268" t="s">
        <v>5741</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5646</v>
      </c>
      <c r="B337" s="260" t="s">
        <v>5738</v>
      </c>
      <c r="C337" s="261" t="s">
        <v>5772</v>
      </c>
      <c r="D337" s="264" t="s">
        <v>5773</v>
      </c>
      <c r="E337" s="265" t="s">
        <v>5239</v>
      </c>
      <c r="F337" s="268" t="s">
        <v>5741</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5646</v>
      </c>
      <c r="B338" s="260" t="s">
        <v>5738</v>
      </c>
      <c r="C338" s="261" t="s">
        <v>5774</v>
      </c>
      <c r="D338" s="264" t="s">
        <v>5775</v>
      </c>
      <c r="E338" s="265" t="s">
        <v>5124</v>
      </c>
      <c r="F338" s="268" t="s">
        <v>5741</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5646</v>
      </c>
      <c r="B339" s="260" t="s">
        <v>5738</v>
      </c>
      <c r="C339" s="261" t="s">
        <v>5776</v>
      </c>
      <c r="D339" s="264" t="s">
        <v>5777</v>
      </c>
      <c r="E339" s="265" t="s">
        <v>5124</v>
      </c>
      <c r="F339" s="268" t="s">
        <v>5741</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5646</v>
      </c>
      <c r="B340" s="259" t="s">
        <v>5778</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5646</v>
      </c>
      <c r="B341" s="260" t="s">
        <v>5778</v>
      </c>
      <c r="C341" s="261" t="s">
        <v>5779</v>
      </c>
      <c r="D341" s="264" t="s">
        <v>5780</v>
      </c>
      <c r="E341" s="265" t="s">
        <v>5095</v>
      </c>
      <c r="F341" s="268" t="s">
        <v>5665</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5646</v>
      </c>
      <c r="B342" s="260" t="s">
        <v>5778</v>
      </c>
      <c r="C342" s="261" t="s">
        <v>5781</v>
      </c>
      <c r="D342" s="264" t="s">
        <v>5782</v>
      </c>
      <c r="E342" s="265" t="s">
        <v>5095</v>
      </c>
      <c r="F342" s="268" t="s">
        <v>5665</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5646</v>
      </c>
      <c r="B343" s="260" t="s">
        <v>5778</v>
      </c>
      <c r="C343" s="261" t="s">
        <v>5783</v>
      </c>
      <c r="D343" s="264" t="s">
        <v>5784</v>
      </c>
      <c r="E343" s="265" t="s">
        <v>5191</v>
      </c>
      <c r="F343" s="268" t="s">
        <v>5785</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5646</v>
      </c>
      <c r="B344" s="260" t="s">
        <v>5778</v>
      </c>
      <c r="C344" s="261" t="s">
        <v>5786</v>
      </c>
      <c r="D344" s="264" t="s">
        <v>5787</v>
      </c>
      <c r="E344" s="265" t="s">
        <v>5124</v>
      </c>
      <c r="F344" s="268" t="s">
        <v>5785</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5646</v>
      </c>
      <c r="B345" s="260" t="s">
        <v>5778</v>
      </c>
      <c r="C345" s="261" t="s">
        <v>5788</v>
      </c>
      <c r="D345" s="264" t="s">
        <v>5789</v>
      </c>
      <c r="E345" s="265" t="s">
        <v>5124</v>
      </c>
      <c r="F345" s="268" t="s">
        <v>5785</v>
      </c>
      <c r="G345" s="271">
        <f>IF(COUNTIF(H345:AU345,"&lt;&gt;")=0,"",SUMPRODUCT(((Recommendations[ImplStatus]="Implemented")+(Recommendations[ImplStatus]="Compensated"))*ISNUMBER(MATCH(Recommendations[Id],H345:AU345,0)))/COUNTIF(H345:AU345,"&lt;&gt;"))</f>
        <v>0</v>
      </c>
      <c r="H345" s="272" t="s">
        <v>241</v>
      </c>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5646</v>
      </c>
      <c r="B346" s="260" t="s">
        <v>5778</v>
      </c>
      <c r="C346" s="261" t="s">
        <v>5790</v>
      </c>
      <c r="D346" s="264" t="s">
        <v>5791</v>
      </c>
      <c r="E346" s="265" t="s">
        <v>5124</v>
      </c>
      <c r="F346" s="268" t="s">
        <v>5785</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5646</v>
      </c>
      <c r="B347" s="260" t="s">
        <v>5778</v>
      </c>
      <c r="C347" s="261" t="s">
        <v>5792</v>
      </c>
      <c r="D347" s="264" t="s">
        <v>5793</v>
      </c>
      <c r="E347" s="265" t="s">
        <v>5124</v>
      </c>
      <c r="F347" s="268" t="s">
        <v>5785</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5646</v>
      </c>
      <c r="B348" s="260" t="s">
        <v>5778</v>
      </c>
      <c r="C348" s="261" t="s">
        <v>5794</v>
      </c>
      <c r="D348" s="264" t="s">
        <v>5795</v>
      </c>
      <c r="E348" s="265" t="s">
        <v>5124</v>
      </c>
      <c r="F348" s="268" t="s">
        <v>5785</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5646</v>
      </c>
      <c r="B349" s="260" t="s">
        <v>5778</v>
      </c>
      <c r="C349" s="261" t="s">
        <v>5796</v>
      </c>
      <c r="D349" s="264" t="s">
        <v>5797</v>
      </c>
      <c r="E349" s="265" t="s">
        <v>5124</v>
      </c>
      <c r="F349" s="268" t="s">
        <v>5785</v>
      </c>
      <c r="G349" s="271">
        <f>IF(COUNTIF(H349:AU349,"&lt;&gt;")=0,"",SUMPRODUCT(((Recommendations[ImplStatus]="Implemented")+(Recommendations[ImplStatus]="Compensated"))*ISNUMBER(MATCH(Recommendations[Id],H349:AU349,0)))/COUNTIF(H349:AU349,"&lt;&gt;"))</f>
        <v>0</v>
      </c>
      <c r="H349" s="272" t="s">
        <v>73</v>
      </c>
      <c r="I349" s="272" t="s">
        <v>336</v>
      </c>
      <c r="J349" s="272" t="s">
        <v>346</v>
      </c>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5646</v>
      </c>
      <c r="B350" s="260" t="s">
        <v>5778</v>
      </c>
      <c r="C350" s="261" t="s">
        <v>5798</v>
      </c>
      <c r="D350" s="264" t="s">
        <v>5799</v>
      </c>
      <c r="E350" s="265" t="s">
        <v>5095</v>
      </c>
      <c r="F350" s="268" t="s">
        <v>5785</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5646</v>
      </c>
      <c r="B351" s="260" t="s">
        <v>5778</v>
      </c>
      <c r="C351" s="261" t="s">
        <v>5800</v>
      </c>
      <c r="D351" s="264" t="s">
        <v>5801</v>
      </c>
      <c r="E351" s="265" t="s">
        <v>5095</v>
      </c>
      <c r="F351" s="268" t="s">
        <v>5785</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5646</v>
      </c>
      <c r="B352" s="260" t="s">
        <v>5778</v>
      </c>
      <c r="C352" s="261" t="s">
        <v>5802</v>
      </c>
      <c r="D352" s="264" t="s">
        <v>5803</v>
      </c>
      <c r="E352" s="265" t="s">
        <v>5095</v>
      </c>
      <c r="F352" s="268" t="s">
        <v>5785</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5646</v>
      </c>
      <c r="B353" s="260" t="s">
        <v>5778</v>
      </c>
      <c r="C353" s="261" t="s">
        <v>5804</v>
      </c>
      <c r="D353" s="264" t="s">
        <v>5805</v>
      </c>
      <c r="E353" s="265" t="s">
        <v>5191</v>
      </c>
      <c r="F353" s="268" t="s">
        <v>5665</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5646</v>
      </c>
      <c r="B354" s="259" t="s">
        <v>5806</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5646</v>
      </c>
      <c r="B355" s="260" t="s">
        <v>5806</v>
      </c>
      <c r="C355" s="261" t="s">
        <v>5807</v>
      </c>
      <c r="D355" s="264" t="s">
        <v>5808</v>
      </c>
      <c r="E355" s="265" t="s">
        <v>5191</v>
      </c>
      <c r="F355" s="268" t="s">
        <v>5809</v>
      </c>
      <c r="G355" s="271">
        <f>IF(COUNTIF(H355:AU355,"&lt;&gt;")=0,"",SUMPRODUCT(((Recommendations[ImplStatus]="Implemented")+(Recommendations[ImplStatus]="Compensated"))*ISNUMBER(MATCH(Recommendations[Id],H355:AU355,0)))/COUNTIF(H355:AU355,"&lt;&gt;"))</f>
        <v>0</v>
      </c>
      <c r="H355" s="272" t="s">
        <v>262</v>
      </c>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5646</v>
      </c>
      <c r="B356" s="260" t="s">
        <v>5806</v>
      </c>
      <c r="C356" s="261" t="s">
        <v>5810</v>
      </c>
      <c r="D356" s="264" t="s">
        <v>5811</v>
      </c>
      <c r="E356" s="265" t="s">
        <v>5191</v>
      </c>
      <c r="F356" s="268" t="s">
        <v>5809</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5646</v>
      </c>
      <c r="B357" s="260" t="s">
        <v>5806</v>
      </c>
      <c r="C357" s="261" t="s">
        <v>5812</v>
      </c>
      <c r="D357" s="264" t="s">
        <v>5813</v>
      </c>
      <c r="E357" s="265" t="s">
        <v>5239</v>
      </c>
      <c r="F357" s="268" t="s">
        <v>5809</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5646</v>
      </c>
      <c r="B358" s="260" t="s">
        <v>5806</v>
      </c>
      <c r="C358" s="261" t="s">
        <v>5814</v>
      </c>
      <c r="D358" s="264" t="s">
        <v>5815</v>
      </c>
      <c r="E358" s="265" t="s">
        <v>5239</v>
      </c>
      <c r="F358" s="268" t="s">
        <v>5809</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5646</v>
      </c>
      <c r="B359" s="260" t="s">
        <v>5806</v>
      </c>
      <c r="C359" s="261" t="s">
        <v>5816</v>
      </c>
      <c r="D359" s="264" t="s">
        <v>5817</v>
      </c>
      <c r="E359" s="265" t="s">
        <v>5239</v>
      </c>
      <c r="F359" s="268" t="s">
        <v>5809</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5646</v>
      </c>
      <c r="B360" s="260" t="s">
        <v>5806</v>
      </c>
      <c r="C360" s="261" t="s">
        <v>5818</v>
      </c>
      <c r="D360" s="264" t="s">
        <v>5819</v>
      </c>
      <c r="E360" s="265" t="s">
        <v>5191</v>
      </c>
      <c r="F360" s="268" t="s">
        <v>5809</v>
      </c>
      <c r="G360" s="271">
        <f>IF(COUNTIF(H360:AU360,"&lt;&gt;")=0,"",SUMPRODUCT(((Recommendations[ImplStatus]="Implemented")+(Recommendations[ImplStatus]="Compensated"))*ISNUMBER(MATCH(Recommendations[Id],H360:AU360,0)))/COUNTIF(H360:AU360,"&lt;&gt;"))</f>
        <v>0</v>
      </c>
      <c r="H360" s="272" t="s">
        <v>36</v>
      </c>
      <c r="I360" s="272" t="s">
        <v>205</v>
      </c>
      <c r="J360" s="272" t="s">
        <v>286</v>
      </c>
      <c r="K360" s="272" t="s">
        <v>291</v>
      </c>
      <c r="L360" s="272" t="s">
        <v>312</v>
      </c>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5646</v>
      </c>
      <c r="B361" s="260" t="s">
        <v>5806</v>
      </c>
      <c r="C361" s="261" t="s">
        <v>5820</v>
      </c>
      <c r="D361" s="264" t="s">
        <v>5821</v>
      </c>
      <c r="E361" s="265" t="s">
        <v>5124</v>
      </c>
      <c r="F361" s="268" t="s">
        <v>5809</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5646</v>
      </c>
      <c r="B362" s="260" t="s">
        <v>5806</v>
      </c>
      <c r="C362" s="261" t="s">
        <v>5822</v>
      </c>
      <c r="D362" s="264" t="s">
        <v>5823</v>
      </c>
      <c r="E362" s="265" t="s">
        <v>5239</v>
      </c>
      <c r="F362" s="268" t="s">
        <v>5809</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5646</v>
      </c>
      <c r="B363" s="260" t="s">
        <v>5806</v>
      </c>
      <c r="C363" s="261" t="s">
        <v>5824</v>
      </c>
      <c r="D363" s="264" t="s">
        <v>5825</v>
      </c>
      <c r="E363" s="265" t="s">
        <v>5239</v>
      </c>
      <c r="F363" s="268" t="s">
        <v>5809</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5646</v>
      </c>
      <c r="B364" s="260" t="s">
        <v>5806</v>
      </c>
      <c r="C364" s="261" t="s">
        <v>5826</v>
      </c>
      <c r="D364" s="264" t="s">
        <v>5827</v>
      </c>
      <c r="E364" s="265" t="s">
        <v>5239</v>
      </c>
      <c r="F364" s="268" t="s">
        <v>5809</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5646</v>
      </c>
      <c r="B365" s="260" t="s">
        <v>5806</v>
      </c>
      <c r="C365" s="261" t="s">
        <v>5828</v>
      </c>
      <c r="D365" s="264" t="s">
        <v>5829</v>
      </c>
      <c r="E365" s="265" t="s">
        <v>5239</v>
      </c>
      <c r="F365" s="268" t="s">
        <v>5809</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5646</v>
      </c>
      <c r="B366" s="260" t="s">
        <v>5806</v>
      </c>
      <c r="C366" s="261" t="s">
        <v>5830</v>
      </c>
      <c r="D366" s="264" t="s">
        <v>5831</v>
      </c>
      <c r="E366" s="265" t="s">
        <v>5239</v>
      </c>
      <c r="F366" s="268" t="s">
        <v>5809</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5646</v>
      </c>
      <c r="B367" s="260" t="s">
        <v>5806</v>
      </c>
      <c r="C367" s="261" t="s">
        <v>5832</v>
      </c>
      <c r="D367" s="264" t="s">
        <v>5833</v>
      </c>
      <c r="E367" s="265" t="s">
        <v>5239</v>
      </c>
      <c r="F367" s="268" t="s">
        <v>5809</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5646</v>
      </c>
      <c r="B368" s="260" t="s">
        <v>5806</v>
      </c>
      <c r="C368" s="261" t="s">
        <v>5834</v>
      </c>
      <c r="D368" s="264" t="s">
        <v>5835</v>
      </c>
      <c r="E368" s="265" t="s">
        <v>5239</v>
      </c>
      <c r="F368" s="268" t="s">
        <v>5809</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5646</v>
      </c>
      <c r="B369" s="260" t="s">
        <v>5806</v>
      </c>
      <c r="C369" s="261" t="s">
        <v>5836</v>
      </c>
      <c r="D369" s="264" t="s">
        <v>5837</v>
      </c>
      <c r="E369" s="265" t="s">
        <v>5239</v>
      </c>
      <c r="F369" s="268" t="s">
        <v>5809</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5838</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5838</v>
      </c>
      <c r="B371" s="259" t="s">
        <v>5839</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5838</v>
      </c>
      <c r="B372" s="260" t="s">
        <v>5839</v>
      </c>
      <c r="C372" s="261" t="s">
        <v>5840</v>
      </c>
      <c r="D372" s="264" t="s">
        <v>5841</v>
      </c>
      <c r="E372" s="265" t="s">
        <v>5095</v>
      </c>
      <c r="F372" s="268" t="s">
        <v>5842</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5838</v>
      </c>
      <c r="B373" s="260" t="s">
        <v>5839</v>
      </c>
      <c r="C373" s="261" t="s">
        <v>5843</v>
      </c>
      <c r="D373" s="264" t="s">
        <v>5844</v>
      </c>
      <c r="E373" s="265" t="s">
        <v>5095</v>
      </c>
      <c r="F373" s="268" t="s">
        <v>5845</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5838</v>
      </c>
      <c r="B374" s="260" t="s">
        <v>5839</v>
      </c>
      <c r="C374" s="261" t="s">
        <v>5846</v>
      </c>
      <c r="D374" s="264" t="s">
        <v>5847</v>
      </c>
      <c r="E374" s="265" t="s">
        <v>5124</v>
      </c>
      <c r="F374" s="268" t="s">
        <v>5845</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5838</v>
      </c>
      <c r="B375" s="260" t="s">
        <v>5839</v>
      </c>
      <c r="C375" s="261" t="s">
        <v>5848</v>
      </c>
      <c r="D375" s="264" t="s">
        <v>5849</v>
      </c>
      <c r="E375" s="265" t="s">
        <v>5124</v>
      </c>
      <c r="F375" s="268" t="s">
        <v>5845</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5838</v>
      </c>
      <c r="B376" s="260" t="s">
        <v>5839</v>
      </c>
      <c r="C376" s="261" t="s">
        <v>5850</v>
      </c>
      <c r="D376" s="264" t="s">
        <v>5851</v>
      </c>
      <c r="E376" s="265" t="s">
        <v>5124</v>
      </c>
      <c r="F376" s="268" t="s">
        <v>5707</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5838</v>
      </c>
      <c r="B377" s="260" t="s">
        <v>5839</v>
      </c>
      <c r="C377" s="261" t="s">
        <v>5852</v>
      </c>
      <c r="D377" s="264" t="s">
        <v>5853</v>
      </c>
      <c r="E377" s="265" t="s">
        <v>5191</v>
      </c>
      <c r="F377" s="268" t="s">
        <v>5665</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5838</v>
      </c>
      <c r="B378" s="260" t="s">
        <v>5839</v>
      </c>
      <c r="C378" s="261" t="s">
        <v>5854</v>
      </c>
      <c r="D378" s="264" t="s">
        <v>5855</v>
      </c>
      <c r="E378" s="265" t="s">
        <v>5191</v>
      </c>
      <c r="F378" s="268" t="s">
        <v>5845</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5838</v>
      </c>
      <c r="B379" s="260" t="s">
        <v>5839</v>
      </c>
      <c r="C379" s="261" t="s">
        <v>5856</v>
      </c>
      <c r="D379" s="264" t="s">
        <v>5857</v>
      </c>
      <c r="E379" s="265" t="s">
        <v>5191</v>
      </c>
      <c r="F379" s="268" t="s">
        <v>5842</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5838</v>
      </c>
      <c r="B380" s="260" t="s">
        <v>5839</v>
      </c>
      <c r="C380" s="261" t="s">
        <v>5858</v>
      </c>
      <c r="D380" s="264" t="s">
        <v>5859</v>
      </c>
      <c r="E380" s="265" t="s">
        <v>5191</v>
      </c>
      <c r="F380" s="268" t="s">
        <v>5842</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5838</v>
      </c>
      <c r="B381" s="260" t="s">
        <v>5839</v>
      </c>
      <c r="C381" s="261" t="s">
        <v>5860</v>
      </c>
      <c r="D381" s="264" t="s">
        <v>5861</v>
      </c>
      <c r="E381" s="265" t="s">
        <v>5191</v>
      </c>
      <c r="F381" s="268" t="s">
        <v>5842</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5838</v>
      </c>
      <c r="B382" s="260" t="s">
        <v>5839</v>
      </c>
      <c r="C382" s="261" t="s">
        <v>5862</v>
      </c>
      <c r="D382" s="264" t="s">
        <v>5863</v>
      </c>
      <c r="E382" s="265" t="s">
        <v>5239</v>
      </c>
      <c r="F382" s="268" t="s">
        <v>5842</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5838</v>
      </c>
      <c r="B383" s="260" t="s">
        <v>5839</v>
      </c>
      <c r="C383" s="261" t="s">
        <v>5864</v>
      </c>
      <c r="D383" s="264" t="s">
        <v>5865</v>
      </c>
      <c r="E383" s="265" t="s">
        <v>5239</v>
      </c>
      <c r="F383" s="268" t="s">
        <v>5842</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5838</v>
      </c>
      <c r="B384" s="260" t="s">
        <v>5839</v>
      </c>
      <c r="C384" s="261" t="s">
        <v>5866</v>
      </c>
      <c r="D384" s="264" t="s">
        <v>5867</v>
      </c>
      <c r="E384" s="265" t="s">
        <v>5239</v>
      </c>
      <c r="F384" s="268" t="s">
        <v>5842</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5838</v>
      </c>
      <c r="B385" s="260" t="s">
        <v>5839</v>
      </c>
      <c r="C385" s="261" t="s">
        <v>5868</v>
      </c>
      <c r="D385" s="264" t="s">
        <v>5869</v>
      </c>
      <c r="E385" s="265" t="s">
        <v>5191</v>
      </c>
      <c r="F385" s="268" t="s">
        <v>5842</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5838</v>
      </c>
      <c r="B386" s="259" t="s">
        <v>5870</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5838</v>
      </c>
      <c r="B387" s="260" t="s">
        <v>5870</v>
      </c>
      <c r="C387" s="261" t="s">
        <v>5871</v>
      </c>
      <c r="D387" s="264" t="s">
        <v>5872</v>
      </c>
      <c r="E387" s="265" t="s">
        <v>5095</v>
      </c>
      <c r="F387" s="268" t="s">
        <v>5873</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5838</v>
      </c>
      <c r="B388" s="260" t="s">
        <v>5870</v>
      </c>
      <c r="C388" s="261" t="s">
        <v>5874</v>
      </c>
      <c r="D388" s="264" t="s">
        <v>5875</v>
      </c>
      <c r="E388" s="265" t="s">
        <v>5095</v>
      </c>
      <c r="F388" s="268" t="s">
        <v>5873</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5838</v>
      </c>
      <c r="B389" s="260" t="s">
        <v>5870</v>
      </c>
      <c r="C389" s="261" t="s">
        <v>5876</v>
      </c>
      <c r="D389" s="264" t="s">
        <v>5877</v>
      </c>
      <c r="E389" s="265" t="s">
        <v>5374</v>
      </c>
      <c r="F389" s="268" t="s">
        <v>5873</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5838</v>
      </c>
      <c r="B390" s="260" t="s">
        <v>5870</v>
      </c>
      <c r="C390" s="261" t="s">
        <v>5878</v>
      </c>
      <c r="D390" s="264" t="s">
        <v>5879</v>
      </c>
      <c r="E390" s="265" t="s">
        <v>5191</v>
      </c>
      <c r="F390" s="268" t="s">
        <v>5873</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5838</v>
      </c>
      <c r="B391" s="260" t="s">
        <v>5870</v>
      </c>
      <c r="C391" s="261" t="s">
        <v>5880</v>
      </c>
      <c r="D391" s="264" t="s">
        <v>5881</v>
      </c>
      <c r="E391" s="265" t="s">
        <v>5374</v>
      </c>
      <c r="F391" s="268" t="s">
        <v>5873</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5838</v>
      </c>
      <c r="B392" s="260" t="s">
        <v>5870</v>
      </c>
      <c r="C392" s="261" t="s">
        <v>5882</v>
      </c>
      <c r="D392" s="264" t="s">
        <v>5883</v>
      </c>
      <c r="E392" s="265" t="s">
        <v>5124</v>
      </c>
      <c r="F392" s="268" t="s">
        <v>5873</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5838</v>
      </c>
      <c r="B393" s="260" t="s">
        <v>5870</v>
      </c>
      <c r="C393" s="261" t="s">
        <v>5884</v>
      </c>
      <c r="D393" s="264" t="s">
        <v>5885</v>
      </c>
      <c r="E393" s="265" t="s">
        <v>5124</v>
      </c>
      <c r="F393" s="268" t="s">
        <v>5873</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5838</v>
      </c>
      <c r="B394" s="260" t="s">
        <v>5870</v>
      </c>
      <c r="C394" s="261" t="s">
        <v>5886</v>
      </c>
      <c r="D394" s="264" t="s">
        <v>5887</v>
      </c>
      <c r="E394" s="265" t="s">
        <v>5374</v>
      </c>
      <c r="F394" s="268" t="s">
        <v>5873</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5838</v>
      </c>
      <c r="B395" s="260" t="s">
        <v>5870</v>
      </c>
      <c r="C395" s="261" t="s">
        <v>5888</v>
      </c>
      <c r="D395" s="264" t="s">
        <v>5889</v>
      </c>
      <c r="E395" s="265" t="s">
        <v>5191</v>
      </c>
      <c r="F395" s="268" t="s">
        <v>5873</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5838</v>
      </c>
      <c r="B396" s="260" t="s">
        <v>5870</v>
      </c>
      <c r="C396" s="261" t="s">
        <v>5890</v>
      </c>
      <c r="D396" s="264" t="s">
        <v>5891</v>
      </c>
      <c r="E396" s="265" t="s">
        <v>5374</v>
      </c>
      <c r="F396" s="268" t="s">
        <v>5873</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5838</v>
      </c>
      <c r="B397" s="260" t="s">
        <v>5870</v>
      </c>
      <c r="C397" s="261" t="s">
        <v>5892</v>
      </c>
      <c r="D397" s="264" t="s">
        <v>5893</v>
      </c>
      <c r="E397" s="265" t="s">
        <v>5124</v>
      </c>
      <c r="F397" s="268" t="s">
        <v>5873</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5838</v>
      </c>
      <c r="B398" s="260" t="s">
        <v>5870</v>
      </c>
      <c r="C398" s="261" t="s">
        <v>5894</v>
      </c>
      <c r="D398" s="264" t="s">
        <v>5895</v>
      </c>
      <c r="E398" s="265" t="s">
        <v>5239</v>
      </c>
      <c r="F398" s="268" t="s">
        <v>5873</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5838</v>
      </c>
      <c r="B399" s="260" t="s">
        <v>5870</v>
      </c>
      <c r="C399" s="261" t="s">
        <v>5896</v>
      </c>
      <c r="D399" s="264" t="s">
        <v>5897</v>
      </c>
      <c r="E399" s="265" t="s">
        <v>5374</v>
      </c>
      <c r="F399" s="268" t="s">
        <v>5873</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5838</v>
      </c>
      <c r="B400" s="260" t="s">
        <v>5870</v>
      </c>
      <c r="C400" s="261" t="s">
        <v>5898</v>
      </c>
      <c r="D400" s="264" t="s">
        <v>5899</v>
      </c>
      <c r="E400" s="265" t="s">
        <v>5374</v>
      </c>
      <c r="F400" s="268" t="s">
        <v>5873</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5838</v>
      </c>
      <c r="B401" s="260" t="s">
        <v>5870</v>
      </c>
      <c r="C401" s="261" t="s">
        <v>5900</v>
      </c>
      <c r="D401" s="264" t="s">
        <v>5901</v>
      </c>
      <c r="E401" s="265" t="s">
        <v>5124</v>
      </c>
      <c r="F401" s="268" t="s">
        <v>5873</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5838</v>
      </c>
      <c r="B402" s="260" t="s">
        <v>5870</v>
      </c>
      <c r="C402" s="261" t="s">
        <v>5902</v>
      </c>
      <c r="D402" s="264" t="s">
        <v>5903</v>
      </c>
      <c r="E402" s="265" t="s">
        <v>5124</v>
      </c>
      <c r="F402" s="268" t="s">
        <v>5873</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5838</v>
      </c>
      <c r="B403" s="260" t="s">
        <v>5870</v>
      </c>
      <c r="C403" s="261" t="s">
        <v>5904</v>
      </c>
      <c r="D403" s="264" t="s">
        <v>5905</v>
      </c>
      <c r="E403" s="265" t="s">
        <v>5124</v>
      </c>
      <c r="F403" s="268" t="s">
        <v>5873</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5838</v>
      </c>
      <c r="B404" s="260" t="s">
        <v>5870</v>
      </c>
      <c r="C404" s="261" t="s">
        <v>5906</v>
      </c>
      <c r="D404" s="264" t="s">
        <v>5907</v>
      </c>
      <c r="E404" s="265" t="s">
        <v>5239</v>
      </c>
      <c r="F404" s="268" t="s">
        <v>5873</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5838</v>
      </c>
      <c r="B405" s="260" t="s">
        <v>5870</v>
      </c>
      <c r="C405" s="261" t="s">
        <v>5908</v>
      </c>
      <c r="D405" s="264" t="s">
        <v>5909</v>
      </c>
      <c r="E405" s="265" t="s">
        <v>5239</v>
      </c>
      <c r="F405" s="268" t="s">
        <v>5873</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5838</v>
      </c>
      <c r="B406" s="260" t="s">
        <v>5870</v>
      </c>
      <c r="C406" s="261" t="s">
        <v>5910</v>
      </c>
      <c r="D406" s="264" t="s">
        <v>5911</v>
      </c>
      <c r="E406" s="265" t="s">
        <v>5239</v>
      </c>
      <c r="F406" s="268" t="s">
        <v>5912</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5838</v>
      </c>
      <c r="B407" s="260" t="s">
        <v>5870</v>
      </c>
      <c r="C407" s="261" t="s">
        <v>5913</v>
      </c>
      <c r="D407" s="264" t="s">
        <v>5914</v>
      </c>
      <c r="E407" s="265" t="s">
        <v>5239</v>
      </c>
      <c r="F407" s="268" t="s">
        <v>5873</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5838</v>
      </c>
      <c r="B408" s="260" t="s">
        <v>5870</v>
      </c>
      <c r="C408" s="261" t="s">
        <v>5915</v>
      </c>
      <c r="D408" s="264" t="s">
        <v>5916</v>
      </c>
      <c r="E408" s="265" t="s">
        <v>5239</v>
      </c>
      <c r="F408" s="268" t="s">
        <v>5873</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5838</v>
      </c>
      <c r="B409" s="260" t="s">
        <v>5870</v>
      </c>
      <c r="C409" s="261" t="s">
        <v>5917</v>
      </c>
      <c r="D409" s="264" t="s">
        <v>5918</v>
      </c>
      <c r="E409" s="265" t="s">
        <v>5239</v>
      </c>
      <c r="F409" s="268" t="s">
        <v>5919</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5838</v>
      </c>
      <c r="B410" s="259" t="s">
        <v>5920</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5838</v>
      </c>
      <c r="B411" s="260" t="s">
        <v>5920</v>
      </c>
      <c r="C411" s="261" t="s">
        <v>5921</v>
      </c>
      <c r="D411" s="264" t="s">
        <v>5922</v>
      </c>
      <c r="E411" s="265" t="s">
        <v>5095</v>
      </c>
      <c r="F411" s="268" t="s">
        <v>5845</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5838</v>
      </c>
      <c r="B412" s="260" t="s">
        <v>5920</v>
      </c>
      <c r="C412" s="261" t="s">
        <v>5923</v>
      </c>
      <c r="D412" s="264" t="s">
        <v>5924</v>
      </c>
      <c r="E412" s="265" t="s">
        <v>5095</v>
      </c>
      <c r="F412" s="268" t="s">
        <v>5845</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5838</v>
      </c>
      <c r="B413" s="260" t="s">
        <v>5920</v>
      </c>
      <c r="C413" s="261" t="s">
        <v>5925</v>
      </c>
      <c r="D413" s="264" t="s">
        <v>5926</v>
      </c>
      <c r="E413" s="265" t="s">
        <v>5095</v>
      </c>
      <c r="F413" s="268" t="s">
        <v>5845</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5838</v>
      </c>
      <c r="B414" s="260" t="s">
        <v>5920</v>
      </c>
      <c r="C414" s="261" t="s">
        <v>5927</v>
      </c>
      <c r="D414" s="264" t="s">
        <v>5928</v>
      </c>
      <c r="E414" s="265" t="s">
        <v>5095</v>
      </c>
      <c r="F414" s="268" t="s">
        <v>5845</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5838</v>
      </c>
      <c r="B415" s="260" t="s">
        <v>5920</v>
      </c>
      <c r="C415" s="261" t="s">
        <v>5929</v>
      </c>
      <c r="D415" s="264" t="s">
        <v>5930</v>
      </c>
      <c r="E415" s="265" t="s">
        <v>5124</v>
      </c>
      <c r="F415" s="268" t="s">
        <v>5845</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5838</v>
      </c>
      <c r="B416" s="260" t="s">
        <v>5920</v>
      </c>
      <c r="C416" s="261" t="s">
        <v>5931</v>
      </c>
      <c r="D416" s="264" t="s">
        <v>5932</v>
      </c>
      <c r="E416" s="265" t="s">
        <v>5124</v>
      </c>
      <c r="F416" s="268" t="s">
        <v>5933</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5838</v>
      </c>
      <c r="B417" s="260" t="s">
        <v>5920</v>
      </c>
      <c r="C417" s="261" t="s">
        <v>5934</v>
      </c>
      <c r="D417" s="264" t="s">
        <v>5935</v>
      </c>
      <c r="E417" s="265" t="s">
        <v>5124</v>
      </c>
      <c r="F417" s="268" t="s">
        <v>5933</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5838</v>
      </c>
      <c r="B418" s="260" t="s">
        <v>5920</v>
      </c>
      <c r="C418" s="261" t="s">
        <v>5936</v>
      </c>
      <c r="D418" s="264" t="s">
        <v>5937</v>
      </c>
      <c r="E418" s="265" t="s">
        <v>5374</v>
      </c>
      <c r="F418" s="268" t="s">
        <v>5933</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5838</v>
      </c>
      <c r="B419" s="260" t="s">
        <v>5920</v>
      </c>
      <c r="C419" s="261" t="s">
        <v>5938</v>
      </c>
      <c r="D419" s="264" t="s">
        <v>5939</v>
      </c>
      <c r="E419" s="265" t="s">
        <v>5124</v>
      </c>
      <c r="F419" s="268" t="s">
        <v>5933</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5838</v>
      </c>
      <c r="B420" s="260" t="s">
        <v>5920</v>
      </c>
      <c r="C420" s="261" t="s">
        <v>5940</v>
      </c>
      <c r="D420" s="264" t="s">
        <v>5941</v>
      </c>
      <c r="E420" s="265" t="s">
        <v>5374</v>
      </c>
      <c r="F420" s="268" t="s">
        <v>5933</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5838</v>
      </c>
      <c r="B421" s="260" t="s">
        <v>5920</v>
      </c>
      <c r="C421" s="261" t="s">
        <v>5942</v>
      </c>
      <c r="D421" s="264" t="s">
        <v>5943</v>
      </c>
      <c r="E421" s="265" t="s">
        <v>5374</v>
      </c>
      <c r="F421" s="268" t="s">
        <v>5933</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5838</v>
      </c>
      <c r="B422" s="260" t="s">
        <v>5920</v>
      </c>
      <c r="C422" s="261" t="s">
        <v>5944</v>
      </c>
      <c r="D422" s="264" t="s">
        <v>5945</v>
      </c>
      <c r="E422" s="265" t="s">
        <v>5124</v>
      </c>
      <c r="F422" s="268" t="s">
        <v>5933</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5838</v>
      </c>
      <c r="B423" s="260" t="s">
        <v>5920</v>
      </c>
      <c r="C423" s="261" t="s">
        <v>5946</v>
      </c>
      <c r="D423" s="264" t="s">
        <v>5947</v>
      </c>
      <c r="E423" s="265" t="s">
        <v>5124</v>
      </c>
      <c r="F423" s="268" t="s">
        <v>5933</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5948</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5948</v>
      </c>
      <c r="B425" s="259" t="s">
        <v>5949</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5948</v>
      </c>
      <c r="B426" s="260" t="s">
        <v>5949</v>
      </c>
      <c r="C426" s="261" t="s">
        <v>5950</v>
      </c>
      <c r="D426" s="264" t="s">
        <v>5951</v>
      </c>
      <c r="E426" s="265" t="s">
        <v>5095</v>
      </c>
      <c r="F426" s="268" t="s">
        <v>5912</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5948</v>
      </c>
      <c r="B427" s="260" t="s">
        <v>5949</v>
      </c>
      <c r="C427" s="261" t="s">
        <v>5952</v>
      </c>
      <c r="D427" s="264" t="s">
        <v>5953</v>
      </c>
      <c r="E427" s="265" t="s">
        <v>5095</v>
      </c>
      <c r="F427" s="268" t="s">
        <v>5912</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5948</v>
      </c>
      <c r="B428" s="260" t="s">
        <v>5949</v>
      </c>
      <c r="C428" s="261" t="s">
        <v>5954</v>
      </c>
      <c r="D428" s="264" t="s">
        <v>5955</v>
      </c>
      <c r="E428" s="265" t="s">
        <v>5374</v>
      </c>
      <c r="F428" s="268" t="s">
        <v>5912</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5948</v>
      </c>
      <c r="B429" s="260" t="s">
        <v>5949</v>
      </c>
      <c r="C429" s="261" t="s">
        <v>5956</v>
      </c>
      <c r="D429" s="264" t="s">
        <v>5957</v>
      </c>
      <c r="E429" s="265" t="s">
        <v>5124</v>
      </c>
      <c r="F429" s="268" t="s">
        <v>5912</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5948</v>
      </c>
      <c r="B430" s="260" t="s">
        <v>5949</v>
      </c>
      <c r="C430" s="261" t="s">
        <v>5958</v>
      </c>
      <c r="D430" s="264" t="s">
        <v>5959</v>
      </c>
      <c r="E430" s="265" t="s">
        <v>5124</v>
      </c>
      <c r="F430" s="268" t="s">
        <v>5912</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5948</v>
      </c>
      <c r="B431" s="260" t="s">
        <v>5949</v>
      </c>
      <c r="C431" s="261" t="s">
        <v>5960</v>
      </c>
      <c r="D431" s="264" t="s">
        <v>5961</v>
      </c>
      <c r="E431" s="265" t="s">
        <v>5374</v>
      </c>
      <c r="F431" s="268" t="s">
        <v>5912</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5948</v>
      </c>
      <c r="B432" s="260" t="s">
        <v>5949</v>
      </c>
      <c r="C432" s="261" t="s">
        <v>5962</v>
      </c>
      <c r="D432" s="264" t="s">
        <v>5963</v>
      </c>
      <c r="E432" s="265" t="s">
        <v>5374</v>
      </c>
      <c r="F432" s="268" t="s">
        <v>5912</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5948</v>
      </c>
      <c r="B433" s="260" t="s">
        <v>5949</v>
      </c>
      <c r="C433" s="261" t="s">
        <v>5964</v>
      </c>
      <c r="D433" s="264" t="s">
        <v>5965</v>
      </c>
      <c r="E433" s="265" t="s">
        <v>5191</v>
      </c>
      <c r="F433" s="268" t="s">
        <v>5912</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5948</v>
      </c>
      <c r="B434" s="260" t="s">
        <v>5949</v>
      </c>
      <c r="C434" s="261" t="s">
        <v>5966</v>
      </c>
      <c r="D434" s="264" t="s">
        <v>5967</v>
      </c>
      <c r="E434" s="265" t="s">
        <v>5191</v>
      </c>
      <c r="F434" s="268" t="s">
        <v>5912</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5948</v>
      </c>
      <c r="B435" s="260" t="s">
        <v>5949</v>
      </c>
      <c r="C435" s="261" t="s">
        <v>5968</v>
      </c>
      <c r="D435" s="264" t="s">
        <v>5969</v>
      </c>
      <c r="E435" s="265" t="s">
        <v>5124</v>
      </c>
      <c r="F435" s="268" t="s">
        <v>5912</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5948</v>
      </c>
      <c r="B436" s="260" t="s">
        <v>5949</v>
      </c>
      <c r="C436" s="261" t="s">
        <v>5970</v>
      </c>
      <c r="D436" s="264" t="s">
        <v>5971</v>
      </c>
      <c r="E436" s="265" t="s">
        <v>5191</v>
      </c>
      <c r="F436" s="268" t="s">
        <v>5912</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5948</v>
      </c>
      <c r="B437" s="260" t="s">
        <v>5949</v>
      </c>
      <c r="C437" s="261" t="s">
        <v>5972</v>
      </c>
      <c r="D437" s="264" t="s">
        <v>5973</v>
      </c>
      <c r="E437" s="265" t="s">
        <v>5124</v>
      </c>
      <c r="F437" s="268" t="s">
        <v>5912</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5948</v>
      </c>
      <c r="B438" s="259" t="s">
        <v>5974</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5948</v>
      </c>
      <c r="B439" s="260" t="s">
        <v>5974</v>
      </c>
      <c r="C439" s="261" t="s">
        <v>5975</v>
      </c>
      <c r="D439" s="264" t="s">
        <v>5976</v>
      </c>
      <c r="E439" s="265" t="s">
        <v>5095</v>
      </c>
      <c r="F439" s="268" t="s">
        <v>5977</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5948</v>
      </c>
      <c r="B440" s="260" t="s">
        <v>5974</v>
      </c>
      <c r="C440" s="261" t="s">
        <v>5978</v>
      </c>
      <c r="D440" s="264" t="s">
        <v>5979</v>
      </c>
      <c r="E440" s="265" t="s">
        <v>5095</v>
      </c>
      <c r="F440" s="268" t="s">
        <v>5977</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5948</v>
      </c>
      <c r="B441" s="260" t="s">
        <v>5974</v>
      </c>
      <c r="C441" s="261" t="s">
        <v>5980</v>
      </c>
      <c r="D441" s="264" t="s">
        <v>5981</v>
      </c>
      <c r="E441" s="265" t="s">
        <v>5095</v>
      </c>
      <c r="F441" s="268" t="s">
        <v>5977</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5948</v>
      </c>
      <c r="B442" s="260" t="s">
        <v>5974</v>
      </c>
      <c r="C442" s="261" t="s">
        <v>5982</v>
      </c>
      <c r="D442" s="264" t="s">
        <v>5983</v>
      </c>
      <c r="E442" s="265" t="s">
        <v>5095</v>
      </c>
      <c r="F442" s="268" t="s">
        <v>5977</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5948</v>
      </c>
      <c r="B443" s="260" t="s">
        <v>5974</v>
      </c>
      <c r="C443" s="261" t="s">
        <v>5984</v>
      </c>
      <c r="D443" s="264" t="s">
        <v>5985</v>
      </c>
      <c r="E443" s="265" t="s">
        <v>5124</v>
      </c>
      <c r="F443" s="268" t="s">
        <v>5977</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5948</v>
      </c>
      <c r="B444" s="260" t="s">
        <v>5974</v>
      </c>
      <c r="C444" s="261" t="s">
        <v>5986</v>
      </c>
      <c r="D444" s="264" t="s">
        <v>5987</v>
      </c>
      <c r="E444" s="265" t="s">
        <v>5124</v>
      </c>
      <c r="F444" s="268" t="s">
        <v>5977</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5948</v>
      </c>
      <c r="B445" s="260" t="s">
        <v>5974</v>
      </c>
      <c r="C445" s="261" t="s">
        <v>5988</v>
      </c>
      <c r="D445" s="264" t="s">
        <v>5989</v>
      </c>
      <c r="E445" s="265" t="s">
        <v>5124</v>
      </c>
      <c r="F445" s="268" t="s">
        <v>5977</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5948</v>
      </c>
      <c r="B446" s="260" t="s">
        <v>5974</v>
      </c>
      <c r="C446" s="261" t="s">
        <v>5990</v>
      </c>
      <c r="D446" s="264" t="s">
        <v>5991</v>
      </c>
      <c r="E446" s="265" t="s">
        <v>5239</v>
      </c>
      <c r="F446" s="268" t="s">
        <v>5977</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5948</v>
      </c>
      <c r="B447" s="260" t="s">
        <v>5974</v>
      </c>
      <c r="C447" s="261" t="s">
        <v>5992</v>
      </c>
      <c r="D447" s="264" t="s">
        <v>5993</v>
      </c>
      <c r="E447" s="265" t="s">
        <v>5124</v>
      </c>
      <c r="F447" s="268" t="s">
        <v>5977</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5948</v>
      </c>
      <c r="B448" s="260" t="s">
        <v>5974</v>
      </c>
      <c r="C448" s="261" t="s">
        <v>5994</v>
      </c>
      <c r="D448" s="264" t="s">
        <v>5995</v>
      </c>
      <c r="E448" s="265" t="s">
        <v>5239</v>
      </c>
      <c r="F448" s="268" t="s">
        <v>5977</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5948</v>
      </c>
      <c r="B449" s="260" t="s">
        <v>5974</v>
      </c>
      <c r="C449" s="261" t="s">
        <v>5996</v>
      </c>
      <c r="D449" s="264" t="s">
        <v>5997</v>
      </c>
      <c r="E449" s="265" t="s">
        <v>5239</v>
      </c>
      <c r="F449" s="268" t="s">
        <v>5977</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5998</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5998</v>
      </c>
      <c r="B451" s="259" t="s">
        <v>5999</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5998</v>
      </c>
      <c r="B452" s="260" t="s">
        <v>5999</v>
      </c>
      <c r="C452" s="261" t="s">
        <v>6000</v>
      </c>
      <c r="D452" s="264" t="s">
        <v>6001</v>
      </c>
      <c r="E452" s="265" t="s">
        <v>5095</v>
      </c>
      <c r="F452" s="268" t="s">
        <v>6002</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5998</v>
      </c>
      <c r="B453" s="260" t="s">
        <v>5999</v>
      </c>
      <c r="C453" s="261" t="s">
        <v>6003</v>
      </c>
      <c r="D453" s="264" t="s">
        <v>6004</v>
      </c>
      <c r="E453" s="265" t="s">
        <v>5095</v>
      </c>
      <c r="F453" s="268" t="s">
        <v>6002</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5998</v>
      </c>
      <c r="B454" s="260" t="s">
        <v>5999</v>
      </c>
      <c r="C454" s="261" t="s">
        <v>6005</v>
      </c>
      <c r="D454" s="264" t="s">
        <v>6006</v>
      </c>
      <c r="E454" s="265" t="s">
        <v>5095</v>
      </c>
      <c r="F454" s="268" t="s">
        <v>6002</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5998</v>
      </c>
      <c r="B455" s="260" t="s">
        <v>5999</v>
      </c>
      <c r="C455" s="261" t="s">
        <v>6007</v>
      </c>
      <c r="D455" s="264" t="s">
        <v>6008</v>
      </c>
      <c r="E455" s="265" t="s">
        <v>5095</v>
      </c>
      <c r="F455" s="268" t="s">
        <v>6002</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5998</v>
      </c>
      <c r="B456" s="260" t="s">
        <v>5999</v>
      </c>
      <c r="C456" s="261" t="s">
        <v>6009</v>
      </c>
      <c r="D456" s="264" t="s">
        <v>6010</v>
      </c>
      <c r="E456" s="265" t="s">
        <v>5095</v>
      </c>
      <c r="F456" s="268" t="s">
        <v>6002</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5998</v>
      </c>
      <c r="B457" s="260" t="s">
        <v>5999</v>
      </c>
      <c r="C457" s="261" t="s">
        <v>6011</v>
      </c>
      <c r="D457" s="264" t="s">
        <v>6012</v>
      </c>
      <c r="E457" s="265" t="s">
        <v>5124</v>
      </c>
      <c r="F457" s="268" t="s">
        <v>6002</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5998</v>
      </c>
      <c r="B458" s="260" t="s">
        <v>5999</v>
      </c>
      <c r="C458" s="261" t="s">
        <v>6013</v>
      </c>
      <c r="D458" s="264" t="s">
        <v>6014</v>
      </c>
      <c r="E458" s="265" t="s">
        <v>5124</v>
      </c>
      <c r="F458" s="268" t="s">
        <v>6002</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5998</v>
      </c>
      <c r="B459" s="260" t="s">
        <v>5999</v>
      </c>
      <c r="C459" s="261" t="s">
        <v>6015</v>
      </c>
      <c r="D459" s="264" t="s">
        <v>6016</v>
      </c>
      <c r="E459" s="265" t="s">
        <v>5124</v>
      </c>
      <c r="F459" s="268" t="s">
        <v>6002</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5998</v>
      </c>
      <c r="B460" s="260" t="s">
        <v>5999</v>
      </c>
      <c r="C460" s="261" t="s">
        <v>6017</v>
      </c>
      <c r="D460" s="264" t="s">
        <v>6018</v>
      </c>
      <c r="E460" s="265" t="s">
        <v>5124</v>
      </c>
      <c r="F460" s="268" t="s">
        <v>6002</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5998</v>
      </c>
      <c r="B461" s="260" t="s">
        <v>5999</v>
      </c>
      <c r="C461" s="261" t="s">
        <v>6019</v>
      </c>
      <c r="D461" s="264" t="s">
        <v>6020</v>
      </c>
      <c r="E461" s="265" t="s">
        <v>5124</v>
      </c>
      <c r="F461" s="268" t="s">
        <v>6002</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5998</v>
      </c>
      <c r="B462" s="260" t="s">
        <v>5999</v>
      </c>
      <c r="C462" s="261" t="s">
        <v>6021</v>
      </c>
      <c r="D462" s="264" t="s">
        <v>6022</v>
      </c>
      <c r="E462" s="265" t="s">
        <v>5124</v>
      </c>
      <c r="F462" s="268" t="s">
        <v>6002</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5998</v>
      </c>
      <c r="B463" s="260" t="s">
        <v>5999</v>
      </c>
      <c r="C463" s="261" t="s">
        <v>6023</v>
      </c>
      <c r="D463" s="264" t="s">
        <v>6024</v>
      </c>
      <c r="E463" s="265" t="s">
        <v>5124</v>
      </c>
      <c r="F463" s="268" t="s">
        <v>6002</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5998</v>
      </c>
      <c r="B464" s="260" t="s">
        <v>5999</v>
      </c>
      <c r="C464" s="261" t="s">
        <v>6025</v>
      </c>
      <c r="D464" s="264" t="s">
        <v>6026</v>
      </c>
      <c r="E464" s="265" t="s">
        <v>5124</v>
      </c>
      <c r="F464" s="268" t="s">
        <v>6002</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5998</v>
      </c>
      <c r="B465" s="260" t="s">
        <v>5999</v>
      </c>
      <c r="C465" s="261" t="s">
        <v>6027</v>
      </c>
      <c r="D465" s="264" t="s">
        <v>6028</v>
      </c>
      <c r="E465" s="265" t="s">
        <v>5124</v>
      </c>
      <c r="F465" s="268" t="s">
        <v>6002</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5998</v>
      </c>
      <c r="B466" s="259" t="s">
        <v>6029</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5998</v>
      </c>
      <c r="B467" s="260" t="s">
        <v>6029</v>
      </c>
      <c r="C467" s="261" t="s">
        <v>6030</v>
      </c>
      <c r="D467" s="264" t="s">
        <v>6031</v>
      </c>
      <c r="E467" s="265" t="s">
        <v>5095</v>
      </c>
      <c r="F467" s="268" t="s">
        <v>5234</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5998</v>
      </c>
      <c r="B468" s="260" t="s">
        <v>6029</v>
      </c>
      <c r="C468" s="261" t="s">
        <v>6032</v>
      </c>
      <c r="D468" s="264" t="s">
        <v>6033</v>
      </c>
      <c r="E468" s="265" t="s">
        <v>5095</v>
      </c>
      <c r="F468" s="268" t="s">
        <v>5234</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5998</v>
      </c>
      <c r="B469" s="260" t="s">
        <v>6029</v>
      </c>
      <c r="C469" s="261" t="s">
        <v>6034</v>
      </c>
      <c r="D469" s="264" t="s">
        <v>6035</v>
      </c>
      <c r="E469" s="265" t="s">
        <v>5095</v>
      </c>
      <c r="F469" s="268" t="s">
        <v>5234</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5998</v>
      </c>
      <c r="B470" s="260" t="s">
        <v>6029</v>
      </c>
      <c r="C470" s="261" t="s">
        <v>6036</v>
      </c>
      <c r="D470" s="264" t="s">
        <v>6037</v>
      </c>
      <c r="E470" s="265" t="s">
        <v>5191</v>
      </c>
      <c r="F470" s="268" t="s">
        <v>5603</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5998</v>
      </c>
      <c r="B471" s="260" t="s">
        <v>6029</v>
      </c>
      <c r="C471" s="261" t="s">
        <v>6038</v>
      </c>
      <c r="D471" s="264" t="s">
        <v>6039</v>
      </c>
      <c r="E471" s="265" t="s">
        <v>5191</v>
      </c>
      <c r="F471" s="268" t="s">
        <v>5603</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5998</v>
      </c>
      <c r="B472" s="260" t="s">
        <v>6029</v>
      </c>
      <c r="C472" s="261" t="s">
        <v>6040</v>
      </c>
      <c r="D472" s="264" t="s">
        <v>6041</v>
      </c>
      <c r="E472" s="265" t="s">
        <v>5095</v>
      </c>
      <c r="F472" s="268" t="s">
        <v>5603</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5998</v>
      </c>
      <c r="B473" s="260" t="s">
        <v>6029</v>
      </c>
      <c r="C473" s="261" t="s">
        <v>6042</v>
      </c>
      <c r="D473" s="264" t="s">
        <v>6043</v>
      </c>
      <c r="E473" s="265" t="s">
        <v>5095</v>
      </c>
      <c r="F473" s="268" t="s">
        <v>5542</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5998</v>
      </c>
      <c r="B474" s="260" t="s">
        <v>6029</v>
      </c>
      <c r="C474" s="261" t="s">
        <v>6044</v>
      </c>
      <c r="D474" s="264" t="s">
        <v>6045</v>
      </c>
      <c r="E474" s="265" t="s">
        <v>5124</v>
      </c>
      <c r="F474" s="268" t="s">
        <v>5542</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5998</v>
      </c>
      <c r="B475" s="260" t="s">
        <v>6029</v>
      </c>
      <c r="C475" s="261" t="s">
        <v>6046</v>
      </c>
      <c r="D475" s="264" t="s">
        <v>6047</v>
      </c>
      <c r="E475" s="265" t="s">
        <v>5124</v>
      </c>
      <c r="F475" s="268" t="s">
        <v>5542</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5998</v>
      </c>
      <c r="B476" s="260" t="s">
        <v>6029</v>
      </c>
      <c r="C476" s="261" t="s">
        <v>6048</v>
      </c>
      <c r="D476" s="264" t="s">
        <v>6049</v>
      </c>
      <c r="E476" s="265" t="s">
        <v>5124</v>
      </c>
      <c r="F476" s="268" t="s">
        <v>5542</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5998</v>
      </c>
      <c r="B477" s="260" t="s">
        <v>6029</v>
      </c>
      <c r="C477" s="261" t="s">
        <v>6050</v>
      </c>
      <c r="D477" s="264" t="s">
        <v>6051</v>
      </c>
      <c r="E477" s="265" t="s">
        <v>5124</v>
      </c>
      <c r="F477" s="268" t="s">
        <v>5542</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5998</v>
      </c>
      <c r="B478" s="260" t="s">
        <v>6029</v>
      </c>
      <c r="C478" s="261" t="s">
        <v>6052</v>
      </c>
      <c r="D478" s="264" t="s">
        <v>6053</v>
      </c>
      <c r="E478" s="265" t="s">
        <v>5124</v>
      </c>
      <c r="F478" s="268" t="s">
        <v>5603</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5998</v>
      </c>
      <c r="B479" s="260" t="s">
        <v>6029</v>
      </c>
      <c r="C479" s="261" t="s">
        <v>6054</v>
      </c>
      <c r="D479" s="264" t="s">
        <v>6055</v>
      </c>
      <c r="E479" s="265" t="s">
        <v>5239</v>
      </c>
      <c r="F479" s="268" t="s">
        <v>5603</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5998</v>
      </c>
      <c r="B480" s="260" t="s">
        <v>6029</v>
      </c>
      <c r="C480" s="261" t="s">
        <v>6056</v>
      </c>
      <c r="D480" s="264" t="s">
        <v>6057</v>
      </c>
      <c r="E480" s="265" t="s">
        <v>5239</v>
      </c>
      <c r="F480" s="268" t="s">
        <v>5603</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5998</v>
      </c>
      <c r="B481" s="273" t="s">
        <v>6029</v>
      </c>
      <c r="C481" s="274" t="s">
        <v>6058</v>
      </c>
      <c r="D481" s="275" t="s">
        <v>6059</v>
      </c>
      <c r="E481" s="276" t="s">
        <v>5239</v>
      </c>
      <c r="F481" s="277" t="s">
        <v>5234</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351</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IFERROR(INDEX('Recommendations'!$H$2:$H$69, MATCH(H2,'Recommendations'!$A$2:$A$69,0))="Implemented", FALSE))</xm:f>
            <x14:dxf>
              <font>
                <color rgb="FF000000"/>
              </font>
              <fill>
                <patternFill>
                  <bgColor rgb="FF3C7D22"/>
                </patternFill>
              </fill>
            </x14:dxf>
          </x14:cfRule>
          <x14:cfRule type="expression" priority="2" id="{00000000-000E-0000-0B00-000002000000}">
            <xm:f>AND(H2&lt;&gt;"", IFERROR(INDEX('Recommendations'!$H$2:$H$69, MATCH(H2,'Recommendations'!$A$2:$A$69,0))="Compensated", FALSE))</xm:f>
            <x14:dxf>
              <font>
                <color rgb="FF000000"/>
              </font>
              <fill>
                <patternFill>
                  <bgColor rgb="FFC6E0B4"/>
                </patternFill>
              </fill>
            </x14:dxf>
          </x14:cfRule>
          <x14:cfRule type="expression" priority="3" id="{00000000-000E-0000-0B00-000003000000}">
            <xm:f>AND(H2&lt;&gt;"", IFERROR(INDEX('Recommendations'!$H$2:$H$69, MATCH(H2,'Recommendations'!$A$2:$A$69,0))="Testing", FALSE))</xm:f>
            <x14:dxf>
              <font>
                <color rgb="FF000000"/>
              </font>
              <fill>
                <patternFill>
                  <bgColor rgb="FFFFC000"/>
                </patternFill>
              </fill>
            </x14:dxf>
          </x14:cfRule>
          <x14:cfRule type="expression" priority="4" id="{00000000-000E-0000-0B00-000004000000}">
            <xm:f>AND(H2&lt;&gt;"", IFERROR(INDEX('Recommendations'!$H$2:$H$69, MATCH(H2,'Recommendations'!$A$2:$A$69,0))="Failed", FALSE))</xm:f>
            <x14:dxf>
              <font>
                <color rgb="FF000000"/>
              </font>
              <fill>
                <patternFill>
                  <bgColor rgb="FFD82891"/>
                </patternFill>
              </fill>
            </x14:dxf>
          </x14:cfRule>
          <x14:cfRule type="expression" priority="5" id="{00000000-000E-0000-0B00-000005000000}">
            <xm:f>AND(H2&lt;&gt;"", IFERROR(INDEX('Recommendations'!$H$2:$H$69, MATCH(H2,'Recommendations'!$A$2:$A$69,0))="Risk Accepted", FALSE))</xm:f>
            <x14:dxf>
              <font>
                <color rgb="FF000000"/>
              </font>
              <fill>
                <patternFill>
                  <bgColor rgb="FFD9D9D9"/>
                </patternFill>
              </fill>
            </x14:dxf>
          </x14:cfRule>
          <x14:cfRule type="expression" priority="6" id="{00000000-000E-0000-0B00-000006000000}">
            <xm:f>AND(H2&lt;&gt;"", IFERROR(INDEX('Recommendations'!$H$2:$H$69, MATCH(H2,'Recommendations'!$A$2:$A$69,0))="N/A",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439</v>
      </c>
      <c r="C2" s="293"/>
      <c r="D2" s="293"/>
      <c r="E2" s="293"/>
      <c r="F2" s="293"/>
      <c r="G2" s="293"/>
      <c r="H2" s="293"/>
      <c r="I2" s="293"/>
    </row>
    <row r="4" spans="2:15" ht="18.5" x14ac:dyDescent="0.45">
      <c r="B4" s="42" t="s">
        <v>440</v>
      </c>
    </row>
    <row r="5" spans="2:15" x14ac:dyDescent="0.35">
      <c r="B5" s="44" t="s">
        <v>21</v>
      </c>
      <c r="C5" s="44" t="s">
        <v>441</v>
      </c>
      <c r="D5" s="44" t="s">
        <v>442</v>
      </c>
      <c r="F5" s="294" t="s">
        <v>443</v>
      </c>
      <c r="G5" s="294"/>
      <c r="H5" s="294"/>
      <c r="I5" s="295" t="s">
        <v>444</v>
      </c>
      <c r="J5" s="295"/>
      <c r="K5" s="295"/>
      <c r="L5" s="295"/>
      <c r="M5" s="295"/>
      <c r="N5" s="295"/>
      <c r="O5" s="295"/>
    </row>
    <row r="6" spans="2:15" x14ac:dyDescent="0.35">
      <c r="B6" s="50" t="s">
        <v>445</v>
      </c>
      <c r="C6" s="51">
        <v>68</v>
      </c>
      <c r="D6" s="52" t="s">
        <v>21</v>
      </c>
      <c r="F6" s="294" t="s">
        <v>446</v>
      </c>
      <c r="G6" s="294"/>
      <c r="H6" s="294"/>
      <c r="I6" s="296" t="s">
        <v>447</v>
      </c>
      <c r="J6" s="296"/>
      <c r="K6" s="296"/>
      <c r="L6" s="296"/>
      <c r="M6" s="296"/>
      <c r="N6" s="296"/>
      <c r="O6" s="296"/>
    </row>
    <row r="7" spans="2:15" x14ac:dyDescent="0.35">
      <c r="B7" s="53" t="s">
        <v>448</v>
      </c>
      <c r="C7" s="54">
        <f>C6-C8-C9</f>
        <v>68</v>
      </c>
      <c r="D7" s="55">
        <f>IF(C6&gt;0,C7/C6,0)</f>
        <v>1</v>
      </c>
      <c r="F7" s="294" t="s">
        <v>449</v>
      </c>
      <c r="G7" s="294"/>
      <c r="H7" s="294"/>
      <c r="I7" s="296" t="s">
        <v>447</v>
      </c>
      <c r="J7" s="296"/>
      <c r="K7" s="296"/>
      <c r="L7" s="296"/>
      <c r="M7" s="296"/>
      <c r="N7" s="296"/>
      <c r="O7" s="296"/>
    </row>
    <row r="8" spans="2:15" x14ac:dyDescent="0.35">
      <c r="B8" s="46" t="s">
        <v>450</v>
      </c>
      <c r="C8" s="47">
        <f>COUNTIF('Recommendations'!H:H,"Risk Accepted")</f>
        <v>0</v>
      </c>
      <c r="D8" s="48">
        <f>IF(C6&gt;0,C8/C6,0)</f>
        <v>0</v>
      </c>
      <c r="F8" s="294" t="s">
        <v>451</v>
      </c>
      <c r="G8" s="294"/>
      <c r="H8" s="294"/>
      <c r="I8" s="296" t="s">
        <v>447</v>
      </c>
      <c r="J8" s="296"/>
      <c r="K8" s="296"/>
      <c r="L8" s="296"/>
      <c r="M8" s="296"/>
      <c r="N8" s="296"/>
      <c r="O8" s="296"/>
    </row>
    <row r="9" spans="2:15" x14ac:dyDescent="0.35">
      <c r="B9" s="46" t="s">
        <v>452</v>
      </c>
      <c r="C9" s="47">
        <f>COUNTIF('Recommendations'!H:H,"N/A")</f>
        <v>0</v>
      </c>
      <c r="D9" s="48">
        <f>IF(C6&gt;0,C9/C6,0)</f>
        <v>0</v>
      </c>
      <c r="F9" s="294" t="s">
        <v>453</v>
      </c>
      <c r="G9" s="294"/>
      <c r="H9" s="294"/>
      <c r="I9" s="296" t="s">
        <v>447</v>
      </c>
      <c r="J9" s="296"/>
      <c r="K9" s="296"/>
      <c r="L9" s="296"/>
      <c r="M9" s="296"/>
      <c r="N9" s="296"/>
      <c r="O9" s="296"/>
    </row>
    <row r="12" spans="2:15" ht="18.5" x14ac:dyDescent="0.45">
      <c r="B12" s="42" t="s">
        <v>454</v>
      </c>
    </row>
    <row r="14" spans="2:15" x14ac:dyDescent="0.35">
      <c r="B14" s="56" t="s">
        <v>455</v>
      </c>
    </row>
    <row r="15" spans="2:15" x14ac:dyDescent="0.35">
      <c r="B15" s="44" t="s">
        <v>21</v>
      </c>
      <c r="C15" s="44" t="s">
        <v>456</v>
      </c>
      <c r="D15" s="44" t="s">
        <v>457</v>
      </c>
      <c r="E15" s="44" t="s">
        <v>458</v>
      </c>
      <c r="F15" s="44" t="s">
        <v>459</v>
      </c>
    </row>
    <row r="16" spans="2:15" x14ac:dyDescent="0.35">
      <c r="B16" s="46" t="s">
        <v>460</v>
      </c>
      <c r="C16" s="47">
        <f>COUNTIF('Recommendations'!M:M,"Resolved")</f>
        <v>0</v>
      </c>
      <c r="D16" s="47">
        <f>COUNTIF('Recommendations'!M:M,"Testing")</f>
        <v>0</v>
      </c>
      <c r="E16" s="47">
        <f>COUNTIF('Recommendations'!M:M,"Outstanding")</f>
        <v>68</v>
      </c>
      <c r="F16" s="47">
        <f>SUM(C16:E16)</f>
        <v>68</v>
      </c>
    </row>
    <row r="18" spans="2:6" x14ac:dyDescent="0.35">
      <c r="B18" s="56" t="s">
        <v>461</v>
      </c>
    </row>
    <row r="19" spans="2:6" x14ac:dyDescent="0.35">
      <c r="B19" s="57" t="s">
        <v>21</v>
      </c>
      <c r="C19" s="57" t="s">
        <v>456</v>
      </c>
      <c r="D19" s="57" t="s">
        <v>457</v>
      </c>
      <c r="E19" s="57" t="s">
        <v>458</v>
      </c>
      <c r="F19" s="57" t="s">
        <v>21</v>
      </c>
    </row>
    <row r="20" spans="2:6" x14ac:dyDescent="0.35">
      <c r="B20" s="46" t="s">
        <v>460</v>
      </c>
      <c r="C20" s="48">
        <f>IF(F16&gt;0, C16/F16, 0)</f>
        <v>0</v>
      </c>
      <c r="D20" s="48">
        <f>IF(F16&gt;0, D16/F16, 0)</f>
        <v>0</v>
      </c>
      <c r="E20" s="48">
        <f>IF(F16&gt;0, E16/F16, 0)</f>
        <v>1</v>
      </c>
      <c r="F20" s="49" t="s">
        <v>21</v>
      </c>
    </row>
    <row r="25" spans="2:6" ht="18.5" x14ac:dyDescent="0.45">
      <c r="B25" s="42" t="s">
        <v>462</v>
      </c>
    </row>
    <row r="27" spans="2:6" x14ac:dyDescent="0.35">
      <c r="B27" s="56" t="s">
        <v>455</v>
      </c>
    </row>
    <row r="28" spans="2:6" x14ac:dyDescent="0.35">
      <c r="B28" s="44" t="s">
        <v>3</v>
      </c>
      <c r="C28" s="44" t="s">
        <v>456</v>
      </c>
      <c r="D28" s="44" t="s">
        <v>457</v>
      </c>
      <c r="E28" s="44" t="s">
        <v>458</v>
      </c>
      <c r="F28" s="44" t="s">
        <v>459</v>
      </c>
    </row>
    <row r="29" spans="2:6" x14ac:dyDescent="0.35">
      <c r="B29" s="46" t="s">
        <v>17</v>
      </c>
      <c r="C29" s="47">
        <f>COUNTIFS('Recommendations'!D:D,"Distributed Firewall",'Recommendations'!M:M,"=Resolved")</f>
        <v>0</v>
      </c>
      <c r="D29" s="47">
        <f>COUNTIFS('Recommendations'!D:D,"=Distributed Firewall",'Recommendations'!M:M,"=Testing")</f>
        <v>0</v>
      </c>
      <c r="E29" s="47">
        <f>COUNTIFS('Recommendations'!D:D,"=Distributed Firewall",'Recommendations'!M:M,"=Outstanding")</f>
        <v>7</v>
      </c>
      <c r="F29" s="47">
        <f t="shared" ref="F29:F35" si="0">SUM(C29:E29)</f>
        <v>7</v>
      </c>
    </row>
    <row r="30" spans="2:6" x14ac:dyDescent="0.35">
      <c r="B30" s="46" t="s">
        <v>243</v>
      </c>
      <c r="C30" s="47">
        <f>COUNTIFS('Recommendations'!D:D,"Manager NDM",'Recommendations'!M:M,"=Resolved")</f>
        <v>0</v>
      </c>
      <c r="D30" s="47">
        <f>COUNTIFS('Recommendations'!D:D,"=Manager NDM",'Recommendations'!M:M,"=Testing")</f>
        <v>0</v>
      </c>
      <c r="E30" s="47">
        <f>COUNTIFS('Recommendations'!D:D,"=Manager NDM",'Recommendations'!M:M,"=Outstanding")</f>
        <v>23</v>
      </c>
      <c r="F30" s="47">
        <f t="shared" si="0"/>
        <v>23</v>
      </c>
    </row>
    <row r="31" spans="2:6" x14ac:dyDescent="0.35">
      <c r="B31" s="46" t="s">
        <v>58</v>
      </c>
      <c r="C31" s="47">
        <f>COUNTIFS('Recommendations'!D:D,"SDN Controller",'Recommendations'!M:M,"=Resolved")</f>
        <v>0</v>
      </c>
      <c r="D31" s="47">
        <f>COUNTIFS('Recommendations'!D:D,"=SDN Controller",'Recommendations'!M:M,"=Testing")</f>
        <v>0</v>
      </c>
      <c r="E31" s="47">
        <f>COUNTIFS('Recommendations'!D:D,"=SDN Controller",'Recommendations'!M:M,"=Outstanding")</f>
        <v>2</v>
      </c>
      <c r="F31" s="47">
        <f t="shared" si="0"/>
        <v>2</v>
      </c>
    </row>
    <row r="32" spans="2:6" x14ac:dyDescent="0.35">
      <c r="B32" s="46" t="s">
        <v>184</v>
      </c>
      <c r="C32" s="47">
        <f>COUNTIFS('Recommendations'!D:D,"Tier 1 Gateway Firewall",'Recommendations'!M:M,"=Resolved")</f>
        <v>0</v>
      </c>
      <c r="D32" s="47">
        <f>COUNTIFS('Recommendations'!D:D,"=Tier 1 Gateway Firewall",'Recommendations'!M:M,"=Testing")</f>
        <v>0</v>
      </c>
      <c r="E32" s="47">
        <f>COUNTIFS('Recommendations'!D:D,"=Tier 1 Gateway Firewall",'Recommendations'!M:M,"=Outstanding")</f>
        <v>9</v>
      </c>
      <c r="F32" s="47">
        <f t="shared" si="0"/>
        <v>9</v>
      </c>
    </row>
    <row r="33" spans="2:6" x14ac:dyDescent="0.35">
      <c r="B33" s="46" t="s">
        <v>224</v>
      </c>
      <c r="C33" s="47">
        <f>COUNTIFS('Recommendations'!D:D,"Tier 1 Gateway RTR",'Recommendations'!M:M,"=Resolved")</f>
        <v>0</v>
      </c>
      <c r="D33" s="47">
        <f>COUNTIFS('Recommendations'!D:D,"=Tier 1 Gateway RTR",'Recommendations'!M:M,"=Testing")</f>
        <v>0</v>
      </c>
      <c r="E33" s="47">
        <f>COUNTIFS('Recommendations'!D:D,"=Tier 1 Gateway RTR",'Recommendations'!M:M,"=Outstanding")</f>
        <v>4</v>
      </c>
      <c r="F33" s="47">
        <f t="shared" si="0"/>
        <v>4</v>
      </c>
    </row>
    <row r="34" spans="2:6" x14ac:dyDescent="0.35">
      <c r="B34" s="46" t="s">
        <v>69</v>
      </c>
      <c r="C34" s="47">
        <f>COUNTIFS('Recommendations'!D:D,"Tier-0 Gateway Firewall",'Recommendations'!M:M,"=Resolved")</f>
        <v>0</v>
      </c>
      <c r="D34" s="47">
        <f>COUNTIFS('Recommendations'!D:D,"=Tier-0 Gateway Firewall",'Recommendations'!M:M,"=Testing")</f>
        <v>0</v>
      </c>
      <c r="E34" s="47">
        <f>COUNTIFS('Recommendations'!D:D,"=Tier-0 Gateway Firewall",'Recommendations'!M:M,"=Outstanding")</f>
        <v>7</v>
      </c>
      <c r="F34" s="47">
        <f t="shared" si="0"/>
        <v>7</v>
      </c>
    </row>
    <row r="35" spans="2:6" x14ac:dyDescent="0.35">
      <c r="B35" s="46" t="s">
        <v>104</v>
      </c>
      <c r="C35" s="47">
        <f>COUNTIFS('Recommendations'!D:D,"Tier-0 Gateway RTR",'Recommendations'!M:M,"=Resolved")</f>
        <v>0</v>
      </c>
      <c r="D35" s="47">
        <f>COUNTIFS('Recommendations'!D:D,"=Tier-0 Gateway RTR",'Recommendations'!M:M,"=Testing")</f>
        <v>0</v>
      </c>
      <c r="E35" s="47">
        <f>COUNTIFS('Recommendations'!D:D,"=Tier-0 Gateway RTR",'Recommendations'!M:M,"=Outstanding")</f>
        <v>16</v>
      </c>
      <c r="F35" s="47">
        <f t="shared" si="0"/>
        <v>16</v>
      </c>
    </row>
    <row r="37" spans="2:6" x14ac:dyDescent="0.35">
      <c r="B37" s="56" t="s">
        <v>461</v>
      </c>
    </row>
    <row r="38" spans="2:6" x14ac:dyDescent="0.35">
      <c r="B38" s="57" t="s">
        <v>3</v>
      </c>
      <c r="C38" s="57" t="s">
        <v>456</v>
      </c>
      <c r="D38" s="57" t="s">
        <v>457</v>
      </c>
      <c r="E38" s="57" t="s">
        <v>458</v>
      </c>
      <c r="F38" s="57" t="s">
        <v>21</v>
      </c>
    </row>
    <row r="39" spans="2:6" x14ac:dyDescent="0.35">
      <c r="B39" s="46" t="s">
        <v>17</v>
      </c>
      <c r="C39" s="48">
        <f t="shared" ref="C39:C45" si="1">IF(F29&gt;0, C29/F29, 0)</f>
        <v>0</v>
      </c>
      <c r="D39" s="48">
        <f t="shared" ref="D39:D45" si="2">IF(F29&gt;0, D29/F29, 0)</f>
        <v>0</v>
      </c>
      <c r="E39" s="48">
        <f t="shared" ref="E39:E45" si="3">IF(F29&gt;0, E29/F29, 0)</f>
        <v>1</v>
      </c>
      <c r="F39" s="49" t="s">
        <v>21</v>
      </c>
    </row>
    <row r="40" spans="2:6" x14ac:dyDescent="0.35">
      <c r="B40" s="46" t="s">
        <v>243</v>
      </c>
      <c r="C40" s="48">
        <f t="shared" si="1"/>
        <v>0</v>
      </c>
      <c r="D40" s="48">
        <f t="shared" si="2"/>
        <v>0</v>
      </c>
      <c r="E40" s="48">
        <f t="shared" si="3"/>
        <v>1</v>
      </c>
      <c r="F40" s="49" t="s">
        <v>21</v>
      </c>
    </row>
    <row r="41" spans="2:6" x14ac:dyDescent="0.35">
      <c r="B41" s="46" t="s">
        <v>58</v>
      </c>
      <c r="C41" s="48">
        <f t="shared" si="1"/>
        <v>0</v>
      </c>
      <c r="D41" s="48">
        <f t="shared" si="2"/>
        <v>0</v>
      </c>
      <c r="E41" s="48">
        <f t="shared" si="3"/>
        <v>1</v>
      </c>
      <c r="F41" s="49" t="s">
        <v>21</v>
      </c>
    </row>
    <row r="42" spans="2:6" x14ac:dyDescent="0.35">
      <c r="B42" s="46" t="s">
        <v>184</v>
      </c>
      <c r="C42" s="48">
        <f t="shared" si="1"/>
        <v>0</v>
      </c>
      <c r="D42" s="48">
        <f t="shared" si="2"/>
        <v>0</v>
      </c>
      <c r="E42" s="48">
        <f t="shared" si="3"/>
        <v>1</v>
      </c>
      <c r="F42" s="49" t="s">
        <v>21</v>
      </c>
    </row>
    <row r="43" spans="2:6" x14ac:dyDescent="0.35">
      <c r="B43" s="46" t="s">
        <v>224</v>
      </c>
      <c r="C43" s="48">
        <f t="shared" si="1"/>
        <v>0</v>
      </c>
      <c r="D43" s="48">
        <f t="shared" si="2"/>
        <v>0</v>
      </c>
      <c r="E43" s="48">
        <f t="shared" si="3"/>
        <v>1</v>
      </c>
      <c r="F43" s="49" t="s">
        <v>21</v>
      </c>
    </row>
    <row r="44" spans="2:6" x14ac:dyDescent="0.35">
      <c r="B44" s="46" t="s">
        <v>69</v>
      </c>
      <c r="C44" s="48">
        <f t="shared" si="1"/>
        <v>0</v>
      </c>
      <c r="D44" s="48">
        <f t="shared" si="2"/>
        <v>0</v>
      </c>
      <c r="E44" s="48">
        <f t="shared" si="3"/>
        <v>1</v>
      </c>
      <c r="F44" s="49" t="s">
        <v>21</v>
      </c>
    </row>
    <row r="45" spans="2:6" x14ac:dyDescent="0.35">
      <c r="B45" s="46" t="s">
        <v>104</v>
      </c>
      <c r="C45" s="48">
        <f t="shared" si="1"/>
        <v>0</v>
      </c>
      <c r="D45" s="48">
        <f t="shared" si="2"/>
        <v>0</v>
      </c>
      <c r="E45" s="48">
        <f t="shared" si="3"/>
        <v>1</v>
      </c>
      <c r="F45" s="49" t="s">
        <v>21</v>
      </c>
    </row>
    <row r="50" spans="2:6" ht="18.5" x14ac:dyDescent="0.45">
      <c r="B50" s="42" t="s">
        <v>463</v>
      </c>
    </row>
    <row r="52" spans="2:6" x14ac:dyDescent="0.35">
      <c r="B52" s="56" t="s">
        <v>455</v>
      </c>
    </row>
    <row r="53" spans="2:6" x14ac:dyDescent="0.35">
      <c r="B53" s="44" t="s">
        <v>6</v>
      </c>
      <c r="C53" s="44" t="s">
        <v>456</v>
      </c>
      <c r="D53" s="44" t="s">
        <v>457</v>
      </c>
      <c r="E53" s="44" t="s">
        <v>458</v>
      </c>
      <c r="F53" s="44" t="s">
        <v>459</v>
      </c>
    </row>
    <row r="54" spans="2:6" x14ac:dyDescent="0.35">
      <c r="B54" s="46" t="s">
        <v>464</v>
      </c>
      <c r="C54" s="47">
        <f>COUNTIFS('Recommendations'!G:G,"Phase1",'Recommendations'!M:M,"=Resolved")</f>
        <v>0</v>
      </c>
      <c r="D54" s="47">
        <f>COUNTIFS('Recommendations'!G:G,"=Phase1",'Recommendations'!M:M,"=Testing")</f>
        <v>0</v>
      </c>
      <c r="E54" s="47">
        <f>COUNTIFS('Recommendations'!G:G,"=Phase1",'Recommendations'!M:M,"=Outstanding")</f>
        <v>0</v>
      </c>
      <c r="F54" s="47">
        <f t="shared" ref="F54:F59" si="4">SUM(C54:E54)</f>
        <v>0</v>
      </c>
    </row>
    <row r="55" spans="2:6" x14ac:dyDescent="0.35">
      <c r="B55" s="46" t="s">
        <v>465</v>
      </c>
      <c r="C55" s="47">
        <f>COUNTIFS('Recommendations'!G:G,"Phase2",'Recommendations'!M:M,"=Resolved")</f>
        <v>0</v>
      </c>
      <c r="D55" s="47">
        <f>COUNTIFS('Recommendations'!G:G,"=Phase2",'Recommendations'!M:M,"=Testing")</f>
        <v>0</v>
      </c>
      <c r="E55" s="47">
        <f>COUNTIFS('Recommendations'!G:G,"=Phase2",'Recommendations'!M:M,"=Outstanding")</f>
        <v>0</v>
      </c>
      <c r="F55" s="47">
        <f t="shared" si="4"/>
        <v>0</v>
      </c>
    </row>
    <row r="56" spans="2:6" x14ac:dyDescent="0.35">
      <c r="B56" s="46" t="s">
        <v>466</v>
      </c>
      <c r="C56" s="47">
        <f>COUNTIFS('Recommendations'!G:G,"Phase3",'Recommendations'!M:M,"=Resolved")</f>
        <v>0</v>
      </c>
      <c r="D56" s="47">
        <f>COUNTIFS('Recommendations'!G:G,"=Phase3",'Recommendations'!M:M,"=Testing")</f>
        <v>0</v>
      </c>
      <c r="E56" s="47">
        <f>COUNTIFS('Recommendations'!G:G,"=Phase3",'Recommendations'!M:M,"=Outstanding")</f>
        <v>0</v>
      </c>
      <c r="F56" s="47">
        <f t="shared" si="4"/>
        <v>0</v>
      </c>
    </row>
    <row r="57" spans="2:6" x14ac:dyDescent="0.35">
      <c r="B57" s="46" t="s">
        <v>467</v>
      </c>
      <c r="C57" s="47">
        <f>COUNTIFS('Recommendations'!G:G,"Phase4",'Recommendations'!M:M,"=Resolved")</f>
        <v>0</v>
      </c>
      <c r="D57" s="47">
        <f>COUNTIFS('Recommendations'!G:G,"=Phase4",'Recommendations'!M:M,"=Testing")</f>
        <v>0</v>
      </c>
      <c r="E57" s="47">
        <f>COUNTIFS('Recommendations'!G:G,"=Phase4",'Recommendations'!M:M,"=Outstanding")</f>
        <v>0</v>
      </c>
      <c r="F57" s="47">
        <f t="shared" si="4"/>
        <v>0</v>
      </c>
    </row>
    <row r="58" spans="2:6" x14ac:dyDescent="0.35">
      <c r="B58" s="46" t="s">
        <v>468</v>
      </c>
      <c r="C58" s="47">
        <f>COUNTIFS('Recommendations'!G:G,"Phase5",'Recommendations'!M:M,"=Resolved")</f>
        <v>0</v>
      </c>
      <c r="D58" s="47">
        <f>COUNTIFS('Recommendations'!G:G,"=Phase5",'Recommendations'!M:M,"=Testing")</f>
        <v>0</v>
      </c>
      <c r="E58" s="47">
        <f>COUNTIFS('Recommendations'!G:G,"=Phase5",'Recommendations'!M:M,"=Outstanding")</f>
        <v>0</v>
      </c>
      <c r="F58" s="47">
        <f t="shared" si="4"/>
        <v>0</v>
      </c>
    </row>
    <row r="59" spans="2:6" x14ac:dyDescent="0.35">
      <c r="B59" s="46" t="s">
        <v>20</v>
      </c>
      <c r="C59" s="47">
        <f>COUNTIFS('Recommendations'!G:G,"Pending",'Recommendations'!M:M,"=Resolved")</f>
        <v>0</v>
      </c>
      <c r="D59" s="47">
        <f>COUNTIFS('Recommendations'!G:G,"=Pending",'Recommendations'!M:M,"=Testing")</f>
        <v>0</v>
      </c>
      <c r="E59" s="47">
        <f>COUNTIFS('Recommendations'!G:G,"=Pending",'Recommendations'!M:M,"=Outstanding")</f>
        <v>68</v>
      </c>
      <c r="F59" s="47">
        <f t="shared" si="4"/>
        <v>68</v>
      </c>
    </row>
    <row r="61" spans="2:6" x14ac:dyDescent="0.35">
      <c r="B61" s="56" t="s">
        <v>461</v>
      </c>
    </row>
    <row r="62" spans="2:6" x14ac:dyDescent="0.35">
      <c r="B62" s="57" t="s">
        <v>6</v>
      </c>
      <c r="C62" s="57" t="s">
        <v>456</v>
      </c>
      <c r="D62" s="57" t="s">
        <v>457</v>
      </c>
      <c r="E62" s="57" t="s">
        <v>458</v>
      </c>
      <c r="F62" s="57" t="s">
        <v>21</v>
      </c>
    </row>
    <row r="63" spans="2:6" x14ac:dyDescent="0.35">
      <c r="B63" s="46" t="s">
        <v>464</v>
      </c>
      <c r="C63" s="48">
        <f t="shared" ref="C63:C68" si="5">IF(F54&gt;0, C54/F54, 0)</f>
        <v>0</v>
      </c>
      <c r="D63" s="48">
        <f t="shared" ref="D63:D68" si="6">IF(F54&gt;0, D54/F54, 0)</f>
        <v>0</v>
      </c>
      <c r="E63" s="48">
        <f t="shared" ref="E63:E68" si="7">IF(F54&gt;0, E54/F54, 0)</f>
        <v>0</v>
      </c>
      <c r="F63" s="49" t="s">
        <v>21</v>
      </c>
    </row>
    <row r="64" spans="2:6" x14ac:dyDescent="0.35">
      <c r="B64" s="46" t="s">
        <v>465</v>
      </c>
      <c r="C64" s="48">
        <f t="shared" si="5"/>
        <v>0</v>
      </c>
      <c r="D64" s="48">
        <f t="shared" si="6"/>
        <v>0</v>
      </c>
      <c r="E64" s="48">
        <f t="shared" si="7"/>
        <v>0</v>
      </c>
      <c r="F64" s="49" t="s">
        <v>21</v>
      </c>
    </row>
    <row r="65" spans="2:6" x14ac:dyDescent="0.35">
      <c r="B65" s="46" t="s">
        <v>466</v>
      </c>
      <c r="C65" s="48">
        <f t="shared" si="5"/>
        <v>0</v>
      </c>
      <c r="D65" s="48">
        <f t="shared" si="6"/>
        <v>0</v>
      </c>
      <c r="E65" s="48">
        <f t="shared" si="7"/>
        <v>0</v>
      </c>
      <c r="F65" s="49" t="s">
        <v>21</v>
      </c>
    </row>
    <row r="66" spans="2:6" x14ac:dyDescent="0.35">
      <c r="B66" s="46" t="s">
        <v>467</v>
      </c>
      <c r="C66" s="48">
        <f t="shared" si="5"/>
        <v>0</v>
      </c>
      <c r="D66" s="48">
        <f t="shared" si="6"/>
        <v>0</v>
      </c>
      <c r="E66" s="48">
        <f t="shared" si="7"/>
        <v>0</v>
      </c>
      <c r="F66" s="49" t="s">
        <v>21</v>
      </c>
    </row>
    <row r="67" spans="2:6" x14ac:dyDescent="0.35">
      <c r="B67" s="46" t="s">
        <v>468</v>
      </c>
      <c r="C67" s="48">
        <f t="shared" si="5"/>
        <v>0</v>
      </c>
      <c r="D67" s="48">
        <f t="shared" si="6"/>
        <v>0</v>
      </c>
      <c r="E67" s="48">
        <f t="shared" si="7"/>
        <v>0</v>
      </c>
      <c r="F67" s="49" t="s">
        <v>21</v>
      </c>
    </row>
    <row r="68" spans="2:6" x14ac:dyDescent="0.35">
      <c r="B68" s="46" t="s">
        <v>20</v>
      </c>
      <c r="C68" s="48">
        <f t="shared" si="5"/>
        <v>0</v>
      </c>
      <c r="D68" s="48">
        <f t="shared" si="6"/>
        <v>0</v>
      </c>
      <c r="E68" s="48">
        <f t="shared" si="7"/>
        <v>1</v>
      </c>
      <c r="F68" s="49" t="s">
        <v>21</v>
      </c>
    </row>
    <row r="73" spans="2:6" ht="18.5" x14ac:dyDescent="0.45">
      <c r="B73" s="42" t="s">
        <v>469</v>
      </c>
    </row>
    <row r="75" spans="2:6" x14ac:dyDescent="0.35">
      <c r="B75" s="56" t="s">
        <v>455</v>
      </c>
    </row>
    <row r="76" spans="2:6" x14ac:dyDescent="0.35">
      <c r="B76" s="44" t="s">
        <v>2</v>
      </c>
      <c r="C76" s="44" t="s">
        <v>456</v>
      </c>
      <c r="D76" s="44" t="s">
        <v>457</v>
      </c>
      <c r="E76" s="44" t="s">
        <v>458</v>
      </c>
      <c r="F76" s="44" t="s">
        <v>459</v>
      </c>
    </row>
    <row r="77" spans="2:6" x14ac:dyDescent="0.35">
      <c r="B77" s="46" t="s">
        <v>130</v>
      </c>
      <c r="C77" s="47">
        <f>COUNTIFS('Recommendations'!C:C,"CAT I (High)",'Recommendations'!M:M,"=Resolved")</f>
        <v>0</v>
      </c>
      <c r="D77" s="47">
        <f>COUNTIFS('Recommendations'!C:C,"=CAT I (High)",'Recommendations'!M:M,"=Testing")</f>
        <v>0</v>
      </c>
      <c r="E77" s="47">
        <f>COUNTIFS('Recommendations'!C:C,"=CAT I (High)",'Recommendations'!M:M,"=Outstanding")</f>
        <v>8</v>
      </c>
      <c r="F77" s="47">
        <f>SUM(C77:E77)</f>
        <v>8</v>
      </c>
    </row>
    <row r="78" spans="2:6" x14ac:dyDescent="0.35">
      <c r="B78" s="46" t="s">
        <v>16</v>
      </c>
      <c r="C78" s="47">
        <f>COUNTIFS('Recommendations'!C:C,"CAT II (Medium)",'Recommendations'!M:M,"=Resolved")</f>
        <v>0</v>
      </c>
      <c r="D78" s="47">
        <f>COUNTIFS('Recommendations'!C:C,"=CAT II (Medium)",'Recommendations'!M:M,"=Testing")</f>
        <v>0</v>
      </c>
      <c r="E78" s="47">
        <f>COUNTIFS('Recommendations'!C:C,"=CAT II (Medium)",'Recommendations'!M:M,"=Outstanding")</f>
        <v>49</v>
      </c>
      <c r="F78" s="47">
        <f>SUM(C78:E78)</f>
        <v>49</v>
      </c>
    </row>
    <row r="79" spans="2:6" x14ac:dyDescent="0.35">
      <c r="B79" s="46" t="s">
        <v>32</v>
      </c>
      <c r="C79" s="47">
        <f>COUNTIFS('Recommendations'!C:C,"CAT III (Low)",'Recommendations'!M:M,"=Resolved")</f>
        <v>0</v>
      </c>
      <c r="D79" s="47">
        <f>COUNTIFS('Recommendations'!C:C,"=CAT III (Low)",'Recommendations'!M:M,"=Testing")</f>
        <v>0</v>
      </c>
      <c r="E79" s="47">
        <f>COUNTIFS('Recommendations'!C:C,"=CAT III (Low)",'Recommendations'!M:M,"=Outstanding")</f>
        <v>11</v>
      </c>
      <c r="F79" s="47">
        <f>SUM(C79:E79)</f>
        <v>11</v>
      </c>
    </row>
    <row r="81" spans="2:6" x14ac:dyDescent="0.35">
      <c r="B81" s="56" t="s">
        <v>461</v>
      </c>
    </row>
    <row r="82" spans="2:6" x14ac:dyDescent="0.35">
      <c r="B82" s="57" t="s">
        <v>2</v>
      </c>
      <c r="C82" s="57" t="s">
        <v>456</v>
      </c>
      <c r="D82" s="57" t="s">
        <v>457</v>
      </c>
      <c r="E82" s="57" t="s">
        <v>458</v>
      </c>
      <c r="F82" s="57" t="s">
        <v>21</v>
      </c>
    </row>
    <row r="83" spans="2:6" x14ac:dyDescent="0.35">
      <c r="B83" s="46" t="s">
        <v>130</v>
      </c>
      <c r="C83" s="48">
        <f>IF(F77&gt;0, C77/F77, 0)</f>
        <v>0</v>
      </c>
      <c r="D83" s="48">
        <f>IF(F77&gt;0, D77/F77, 0)</f>
        <v>0</v>
      </c>
      <c r="E83" s="48">
        <f>IF(F77&gt;0, E77/F77, 0)</f>
        <v>1</v>
      </c>
      <c r="F83" s="49" t="s">
        <v>21</v>
      </c>
    </row>
    <row r="84" spans="2:6" x14ac:dyDescent="0.35">
      <c r="B84" s="46" t="s">
        <v>16</v>
      </c>
      <c r="C84" s="48">
        <f>IF(F78&gt;0, C78/F78, 0)</f>
        <v>0</v>
      </c>
      <c r="D84" s="48">
        <f>IF(F78&gt;0, D78/F78, 0)</f>
        <v>0</v>
      </c>
      <c r="E84" s="48">
        <f>IF(F78&gt;0, E78/F78, 0)</f>
        <v>1</v>
      </c>
      <c r="F84" s="49" t="s">
        <v>21</v>
      </c>
    </row>
    <row r="85" spans="2:6" x14ac:dyDescent="0.35">
      <c r="B85" s="46" t="s">
        <v>32</v>
      </c>
      <c r="C85" s="48">
        <f>IF(F79&gt;0, C79/F79, 0)</f>
        <v>0</v>
      </c>
      <c r="D85" s="48">
        <f>IF(F79&gt;0, D79/F79, 0)</f>
        <v>0</v>
      </c>
      <c r="E85" s="48">
        <f>IF(F79&gt;0, E79/F79, 0)</f>
        <v>1</v>
      </c>
      <c r="F85" s="49" t="s">
        <v>21</v>
      </c>
    </row>
    <row r="90" spans="2:6" ht="18.5" x14ac:dyDescent="0.45">
      <c r="B90" s="42" t="s">
        <v>470</v>
      </c>
    </row>
    <row r="92" spans="2:6" x14ac:dyDescent="0.35">
      <c r="B92" s="56" t="s">
        <v>455</v>
      </c>
    </row>
    <row r="93" spans="2:6" x14ac:dyDescent="0.35">
      <c r="B93" s="44" t="s">
        <v>4</v>
      </c>
      <c r="C93" s="44" t="s">
        <v>456</v>
      </c>
      <c r="D93" s="44" t="s">
        <v>457</v>
      </c>
      <c r="E93" s="44" t="s">
        <v>458</v>
      </c>
      <c r="F93" s="44" t="s">
        <v>459</v>
      </c>
    </row>
    <row r="94" spans="2:6" x14ac:dyDescent="0.35">
      <c r="B94" s="46" t="s">
        <v>471</v>
      </c>
      <c r="C94" s="47">
        <f>COUNTIFS('Recommendations'!E:E,"Must",'Recommendations'!M:M,"=Resolved")</f>
        <v>0</v>
      </c>
      <c r="D94" s="47">
        <f>COUNTIFS('Recommendations'!E:E,"=Must",'Recommendations'!M:M,"=Testing")</f>
        <v>0</v>
      </c>
      <c r="E94" s="47">
        <f>COUNTIFS('Recommendations'!E:E,"=Must",'Recommendations'!M:M,"=Outstanding")</f>
        <v>0</v>
      </c>
      <c r="F94" s="47">
        <f>SUM(C94:E94)</f>
        <v>0</v>
      </c>
    </row>
    <row r="95" spans="2:6" x14ac:dyDescent="0.35">
      <c r="B95" s="46" t="s">
        <v>472</v>
      </c>
      <c r="C95" s="47">
        <f>COUNTIFS('Recommendations'!E:E,"Should",'Recommendations'!M:M,"=Resolved")</f>
        <v>0</v>
      </c>
      <c r="D95" s="47">
        <f>COUNTIFS('Recommendations'!E:E,"=Should",'Recommendations'!M:M,"=Testing")</f>
        <v>0</v>
      </c>
      <c r="E95" s="47">
        <f>COUNTIFS('Recommendations'!E:E,"=Should",'Recommendations'!M:M,"=Outstanding")</f>
        <v>0</v>
      </c>
      <c r="F95" s="47">
        <f>SUM(C95:E95)</f>
        <v>0</v>
      </c>
    </row>
    <row r="96" spans="2:6" x14ac:dyDescent="0.35">
      <c r="B96" s="46" t="s">
        <v>473</v>
      </c>
      <c r="C96" s="47">
        <f>COUNTIFS('Recommendations'!E:E,"Could",'Recommendations'!M:M,"=Resolved")</f>
        <v>0</v>
      </c>
      <c r="D96" s="47">
        <f>COUNTIFS('Recommendations'!E:E,"=Could",'Recommendations'!M:M,"=Testing")</f>
        <v>0</v>
      </c>
      <c r="E96" s="47">
        <f>COUNTIFS('Recommendations'!E:E,"=Could",'Recommendations'!M:M,"=Outstanding")</f>
        <v>0</v>
      </c>
      <c r="F96" s="47">
        <f>SUM(C96:E96)</f>
        <v>0</v>
      </c>
    </row>
    <row r="97" spans="2:6" x14ac:dyDescent="0.35">
      <c r="B97" s="46" t="s">
        <v>474</v>
      </c>
      <c r="C97" s="47">
        <f>COUNTIFS('Recommendations'!E:E,"Won't",'Recommendations'!M:M,"=Resolved")</f>
        <v>0</v>
      </c>
      <c r="D97" s="47">
        <f>COUNTIFS('Recommendations'!E:E,"=Won't",'Recommendations'!M:M,"=Testing")</f>
        <v>0</v>
      </c>
      <c r="E97" s="47">
        <f>COUNTIFS('Recommendations'!E:E,"=Won't",'Recommendations'!M:M,"=Outstanding")</f>
        <v>0</v>
      </c>
      <c r="F97" s="47">
        <f>SUM(C97:E97)</f>
        <v>0</v>
      </c>
    </row>
    <row r="98" spans="2:6" x14ac:dyDescent="0.35">
      <c r="B98" s="46" t="s">
        <v>18</v>
      </c>
      <c r="C98" s="47">
        <f>COUNTIFS('Recommendations'!E:E,"Unassigned",'Recommendations'!M:M,"=Resolved")</f>
        <v>0</v>
      </c>
      <c r="D98" s="47">
        <f>COUNTIFS('Recommendations'!E:E,"=Unassigned",'Recommendations'!M:M,"=Testing")</f>
        <v>0</v>
      </c>
      <c r="E98" s="47">
        <f>COUNTIFS('Recommendations'!E:E,"=Unassigned",'Recommendations'!M:M,"=Outstanding")</f>
        <v>68</v>
      </c>
      <c r="F98" s="47">
        <f>SUM(C98:E98)</f>
        <v>68</v>
      </c>
    </row>
    <row r="100" spans="2:6" x14ac:dyDescent="0.35">
      <c r="B100" s="56" t="s">
        <v>461</v>
      </c>
    </row>
    <row r="101" spans="2:6" x14ac:dyDescent="0.35">
      <c r="B101" s="57" t="s">
        <v>4</v>
      </c>
      <c r="C101" s="57" t="s">
        <v>456</v>
      </c>
      <c r="D101" s="57" t="s">
        <v>457</v>
      </c>
      <c r="E101" s="57" t="s">
        <v>458</v>
      </c>
      <c r="F101" s="57" t="s">
        <v>21</v>
      </c>
    </row>
    <row r="102" spans="2:6" x14ac:dyDescent="0.35">
      <c r="B102" s="46" t="s">
        <v>471</v>
      </c>
      <c r="C102" s="48">
        <f>IF(F94&gt;0, C94/F94, 0)</f>
        <v>0</v>
      </c>
      <c r="D102" s="48">
        <f>IF(F94&gt;0, D94/F94, 0)</f>
        <v>0</v>
      </c>
      <c r="E102" s="48">
        <f>IF(F94&gt;0, E94/F94, 0)</f>
        <v>0</v>
      </c>
      <c r="F102" s="49" t="s">
        <v>21</v>
      </c>
    </row>
    <row r="103" spans="2:6" x14ac:dyDescent="0.35">
      <c r="B103" s="46" t="s">
        <v>472</v>
      </c>
      <c r="C103" s="48">
        <f>IF(F95&gt;0, C95/F95, 0)</f>
        <v>0</v>
      </c>
      <c r="D103" s="48">
        <f>IF(F95&gt;0, D95/F95, 0)</f>
        <v>0</v>
      </c>
      <c r="E103" s="48">
        <f>IF(F95&gt;0, E95/F95, 0)</f>
        <v>0</v>
      </c>
      <c r="F103" s="49" t="s">
        <v>21</v>
      </c>
    </row>
    <row r="104" spans="2:6" x14ac:dyDescent="0.35">
      <c r="B104" s="46" t="s">
        <v>473</v>
      </c>
      <c r="C104" s="48">
        <f>IF(F96&gt;0, C96/F96, 0)</f>
        <v>0</v>
      </c>
      <c r="D104" s="48">
        <f>IF(F96&gt;0, D96/F96, 0)</f>
        <v>0</v>
      </c>
      <c r="E104" s="48">
        <f>IF(F96&gt;0, E96/F96, 0)</f>
        <v>0</v>
      </c>
      <c r="F104" s="49" t="s">
        <v>21</v>
      </c>
    </row>
    <row r="105" spans="2:6" x14ac:dyDescent="0.35">
      <c r="B105" s="46" t="s">
        <v>474</v>
      </c>
      <c r="C105" s="48">
        <f>IF(F97&gt;0, C97/F97, 0)</f>
        <v>0</v>
      </c>
      <c r="D105" s="48">
        <f>IF(F97&gt;0, D97/F97, 0)</f>
        <v>0</v>
      </c>
      <c r="E105" s="48">
        <f>IF(F97&gt;0, E97/F97, 0)</f>
        <v>0</v>
      </c>
      <c r="F105" s="49" t="s">
        <v>21</v>
      </c>
    </row>
    <row r="106" spans="2:6" x14ac:dyDescent="0.35">
      <c r="B106" s="46" t="s">
        <v>18</v>
      </c>
      <c r="C106" s="48">
        <f>IF(F98&gt;0, C98/F98, 0)</f>
        <v>0</v>
      </c>
      <c r="D106" s="48">
        <f>IF(F98&gt;0, D98/F98, 0)</f>
        <v>0</v>
      </c>
      <c r="E106" s="48">
        <f>IF(F98&gt;0, E98/F98, 0)</f>
        <v>1</v>
      </c>
      <c r="F106" s="49" t="s">
        <v>21</v>
      </c>
    </row>
    <row r="111" spans="2:6" ht="18.5" x14ac:dyDescent="0.45">
      <c r="B111" s="42" t="s">
        <v>475</v>
      </c>
    </row>
    <row r="113" spans="2:6" x14ac:dyDescent="0.35">
      <c r="B113" s="56" t="s">
        <v>455</v>
      </c>
    </row>
    <row r="114" spans="2:6" x14ac:dyDescent="0.35">
      <c r="B114" s="44" t="s">
        <v>476</v>
      </c>
      <c r="C114" s="44" t="s">
        <v>456</v>
      </c>
      <c r="D114" s="44" t="s">
        <v>457</v>
      </c>
      <c r="E114" s="44" t="s">
        <v>458</v>
      </c>
      <c r="F114" s="44" t="s">
        <v>459</v>
      </c>
    </row>
    <row r="115" spans="2:6" x14ac:dyDescent="0.35">
      <c r="B115" s="46" t="s">
        <v>477</v>
      </c>
      <c r="C115" s="47">
        <f>COUNTIFS('Recommendations'!F:F,"Low",'Recommendations'!M:M,"=Resolved")</f>
        <v>0</v>
      </c>
      <c r="D115" s="47">
        <f>COUNTIFS('Recommendations'!F:F,"=Low",'Recommendations'!M:M,"=Testing")</f>
        <v>0</v>
      </c>
      <c r="E115" s="47">
        <f>COUNTIFS('Recommendations'!F:F,"=Low",'Recommendations'!M:M,"=Outstanding")</f>
        <v>0</v>
      </c>
      <c r="F115" s="47">
        <f>SUM(C115:E115)</f>
        <v>0</v>
      </c>
    </row>
    <row r="116" spans="2:6" x14ac:dyDescent="0.35">
      <c r="B116" s="46" t="s">
        <v>478</v>
      </c>
      <c r="C116" s="47">
        <f>COUNTIFS('Recommendations'!F:F,"Medium",'Recommendations'!M:M,"=Resolved")</f>
        <v>0</v>
      </c>
      <c r="D116" s="47">
        <f>COUNTIFS('Recommendations'!F:F,"=Medium",'Recommendations'!M:M,"=Testing")</f>
        <v>0</v>
      </c>
      <c r="E116" s="47">
        <f>COUNTIFS('Recommendations'!F:F,"=Medium",'Recommendations'!M:M,"=Outstanding")</f>
        <v>0</v>
      </c>
      <c r="F116" s="47">
        <f>SUM(C116:E116)</f>
        <v>0</v>
      </c>
    </row>
    <row r="117" spans="2:6" x14ac:dyDescent="0.35">
      <c r="B117" s="46" t="s">
        <v>479</v>
      </c>
      <c r="C117" s="47">
        <f>COUNTIFS('Recommendations'!F:F,"High",'Recommendations'!M:M,"=Resolved")</f>
        <v>0</v>
      </c>
      <c r="D117" s="47">
        <f>COUNTIFS('Recommendations'!F:F,"=High",'Recommendations'!M:M,"=Testing")</f>
        <v>0</v>
      </c>
      <c r="E117" s="47">
        <f>COUNTIFS('Recommendations'!F:F,"=High",'Recommendations'!M:M,"=Outstanding")</f>
        <v>0</v>
      </c>
      <c r="F117" s="47">
        <f>SUM(C117:E117)</f>
        <v>0</v>
      </c>
    </row>
    <row r="118" spans="2:6" x14ac:dyDescent="0.35">
      <c r="B118" s="46" t="s">
        <v>19</v>
      </c>
      <c r="C118" s="47">
        <f>COUNTIFS('Recommendations'!F:F,"Unassessed",'Recommendations'!M:M,"=Resolved")</f>
        <v>0</v>
      </c>
      <c r="D118" s="47">
        <f>COUNTIFS('Recommendations'!F:F,"=Unassessed",'Recommendations'!M:M,"=Testing")</f>
        <v>0</v>
      </c>
      <c r="E118" s="47">
        <f>COUNTIFS('Recommendations'!F:F,"=Unassessed",'Recommendations'!M:M,"=Outstanding")</f>
        <v>68</v>
      </c>
      <c r="F118" s="47">
        <f>SUM(C118:E118)</f>
        <v>68</v>
      </c>
    </row>
    <row r="120" spans="2:6" x14ac:dyDescent="0.35">
      <c r="B120" s="56" t="s">
        <v>461</v>
      </c>
    </row>
    <row r="121" spans="2:6" x14ac:dyDescent="0.35">
      <c r="B121" s="57" t="s">
        <v>476</v>
      </c>
      <c r="C121" s="57" t="s">
        <v>456</v>
      </c>
      <c r="D121" s="57" t="s">
        <v>457</v>
      </c>
      <c r="E121" s="57" t="s">
        <v>458</v>
      </c>
      <c r="F121" s="57" t="s">
        <v>21</v>
      </c>
    </row>
    <row r="122" spans="2:6" x14ac:dyDescent="0.35">
      <c r="B122" s="46" t="s">
        <v>477</v>
      </c>
      <c r="C122" s="48">
        <f>IF(F115&gt;0, C115/F115, 0)</f>
        <v>0</v>
      </c>
      <c r="D122" s="48">
        <f>IF(F115&gt;0, D115/F115, 0)</f>
        <v>0</v>
      </c>
      <c r="E122" s="48">
        <f>IF(F115&gt;0, E115/F115, 0)</f>
        <v>0</v>
      </c>
      <c r="F122" s="49" t="s">
        <v>21</v>
      </c>
    </row>
    <row r="123" spans="2:6" x14ac:dyDescent="0.35">
      <c r="B123" s="46" t="s">
        <v>478</v>
      </c>
      <c r="C123" s="48">
        <f>IF(F116&gt;0, C116/F116, 0)</f>
        <v>0</v>
      </c>
      <c r="D123" s="48">
        <f>IF(F116&gt;0, D116/F116, 0)</f>
        <v>0</v>
      </c>
      <c r="E123" s="48">
        <f>IF(F116&gt;0, E116/F116, 0)</f>
        <v>0</v>
      </c>
      <c r="F123" s="49" t="s">
        <v>21</v>
      </c>
    </row>
    <row r="124" spans="2:6" x14ac:dyDescent="0.35">
      <c r="B124" s="46" t="s">
        <v>479</v>
      </c>
      <c r="C124" s="48">
        <f>IF(F117&gt;0, C117/F117, 0)</f>
        <v>0</v>
      </c>
      <c r="D124" s="48">
        <f>IF(F117&gt;0, D117/F117, 0)</f>
        <v>0</v>
      </c>
      <c r="E124" s="48">
        <f>IF(F117&gt;0, E117/F117, 0)</f>
        <v>0</v>
      </c>
      <c r="F124" s="49" t="s">
        <v>21</v>
      </c>
    </row>
    <row r="125" spans="2:6" x14ac:dyDescent="0.35">
      <c r="B125" s="46" t="s">
        <v>19</v>
      </c>
      <c r="C125" s="48">
        <f>IF(F118&gt;0, C118/F118, 0)</f>
        <v>0</v>
      </c>
      <c r="D125" s="48">
        <f>IF(F118&gt;0, D118/F118, 0)</f>
        <v>0</v>
      </c>
      <c r="E125" s="48">
        <f>IF(F118&gt;0, E118/F118, 0)</f>
        <v>1</v>
      </c>
      <c r="F125" s="49" t="s">
        <v>21</v>
      </c>
    </row>
    <row r="130" spans="2:16" ht="18.5" x14ac:dyDescent="0.45">
      <c r="B130" s="42" t="s">
        <v>480</v>
      </c>
      <c r="J130" s="42" t="s">
        <v>481</v>
      </c>
    </row>
    <row r="131" spans="2:16" x14ac:dyDescent="0.35">
      <c r="B131" s="44" t="s">
        <v>6</v>
      </c>
      <c r="C131" s="297" t="s">
        <v>482</v>
      </c>
      <c r="D131" s="297"/>
      <c r="E131" s="44" t="s">
        <v>448</v>
      </c>
      <c r="F131" s="44" t="s">
        <v>456</v>
      </c>
      <c r="G131" s="297" t="s">
        <v>483</v>
      </c>
      <c r="H131" s="297"/>
      <c r="J131" s="44" t="s">
        <v>6</v>
      </c>
      <c r="K131" s="44" t="s">
        <v>471</v>
      </c>
      <c r="L131" s="44" t="s">
        <v>472</v>
      </c>
      <c r="M131" s="44" t="s">
        <v>473</v>
      </c>
      <c r="N131" s="44" t="s">
        <v>474</v>
      </c>
      <c r="O131" s="44" t="s">
        <v>18</v>
      </c>
    </row>
    <row r="132" spans="2:16" x14ac:dyDescent="0.35">
      <c r="B132" s="50" t="s">
        <v>464</v>
      </c>
      <c r="C132" s="298" t="s">
        <v>21</v>
      </c>
      <c r="D132" s="298"/>
      <c r="E132" s="47">
        <f>COUNTIF('Recommendations'!G:G,"Phase1")-COUNTIFS('Recommendations'!G:G,"Phase1",'Recommendations'!H:H,"Risk Accepted")-COUNTIFS('Recommendations'!G:G,"Phase1",'Recommendations'!H:H,"N/A")</f>
        <v>0</v>
      </c>
      <c r="F132" s="47">
        <f>COUNTIFS('Recommendations'!G:G,"Phase1",'Recommendations'!M:M,"Resolved")</f>
        <v>0</v>
      </c>
      <c r="G132" s="299">
        <f t="shared" ref="G132:G137" si="8">IF(E132&gt;0,F132/E132,0)</f>
        <v>0</v>
      </c>
      <c r="H132" s="299"/>
      <c r="J132" s="50" t="s">
        <v>464</v>
      </c>
      <c r="K132" s="47">
        <f>COUNTIFS('Recommendations'!G:G,"Phase1",'Recommendations'!E:E,"Must")</f>
        <v>0</v>
      </c>
      <c r="L132" s="47">
        <f>COUNTIFS('Recommendations'!G:G,"Phase1",'Recommendations'!E:E,"Should")</f>
        <v>0</v>
      </c>
      <c r="M132" s="47">
        <f>COUNTIFS('Recommendations'!G:G,"Phase1",'Recommendations'!E:E,"Could")</f>
        <v>0</v>
      </c>
      <c r="N132" s="47">
        <f>COUNTIFS('Recommendations'!G:G,"Phase1",'Recommendations'!E:E,"Won't")</f>
        <v>0</v>
      </c>
      <c r="O132" s="47">
        <f>COUNTIFS('Recommendations'!G:G,"Phase1",'Recommendations'!E:E,"Unassigned")</f>
        <v>0</v>
      </c>
    </row>
    <row r="133" spans="2:16" x14ac:dyDescent="0.35">
      <c r="B133" s="50" t="s">
        <v>465</v>
      </c>
      <c r="C133" s="298" t="s">
        <v>21</v>
      </c>
      <c r="D133" s="298"/>
      <c r="E133" s="47">
        <f>COUNTIF('Recommendations'!G:G,"Phase2")-COUNTIFS('Recommendations'!G:G,"Phase2",'Recommendations'!H:H,"Risk Accepted")-COUNTIFS('Recommendations'!G:G,"Phase2",'Recommendations'!H:H,"N/A")</f>
        <v>0</v>
      </c>
      <c r="F133" s="47">
        <f>COUNTIFS('Recommendations'!G:G,"Phase2",'Recommendations'!M:M,"Resolved")</f>
        <v>0</v>
      </c>
      <c r="G133" s="299">
        <f t="shared" si="8"/>
        <v>0</v>
      </c>
      <c r="H133" s="299"/>
      <c r="J133" s="50" t="s">
        <v>465</v>
      </c>
      <c r="K133" s="47">
        <f>COUNTIFS('Recommendations'!G:G,"Phase2",'Recommendations'!E:E,"Must")</f>
        <v>0</v>
      </c>
      <c r="L133" s="47">
        <f>COUNTIFS('Recommendations'!G:G,"Phase2",'Recommendations'!E:E,"Should")</f>
        <v>0</v>
      </c>
      <c r="M133" s="47">
        <f>COUNTIFS('Recommendations'!G:G,"Phase2",'Recommendations'!E:E,"Could")</f>
        <v>0</v>
      </c>
      <c r="N133" s="47">
        <f>COUNTIFS('Recommendations'!G:G,"Phase2",'Recommendations'!E:E,"Won't")</f>
        <v>0</v>
      </c>
      <c r="O133" s="47">
        <f>COUNTIFS('Recommendations'!G:G,"Phase2",'Recommendations'!E:E,"Unassigned")</f>
        <v>0</v>
      </c>
    </row>
    <row r="134" spans="2:16" x14ac:dyDescent="0.35">
      <c r="B134" s="50" t="s">
        <v>466</v>
      </c>
      <c r="C134" s="298" t="s">
        <v>21</v>
      </c>
      <c r="D134" s="298"/>
      <c r="E134" s="47">
        <f>COUNTIF('Recommendations'!G:G,"Phase3")-COUNTIFS('Recommendations'!G:G,"Phase3",'Recommendations'!H:H,"Risk Accepted")-COUNTIFS('Recommendations'!G:G,"Phase3",'Recommendations'!H:H,"N/A")</f>
        <v>0</v>
      </c>
      <c r="F134" s="47">
        <f>COUNTIFS('Recommendations'!G:G,"Phase3",'Recommendations'!M:M,"Resolved")</f>
        <v>0</v>
      </c>
      <c r="G134" s="299">
        <f t="shared" si="8"/>
        <v>0</v>
      </c>
      <c r="H134" s="299"/>
      <c r="J134" s="50" t="s">
        <v>466</v>
      </c>
      <c r="K134" s="47">
        <f>COUNTIFS('Recommendations'!G:G,"Phase3",'Recommendations'!E:E,"Must")</f>
        <v>0</v>
      </c>
      <c r="L134" s="47">
        <f>COUNTIFS('Recommendations'!G:G,"Phase3",'Recommendations'!E:E,"Should")</f>
        <v>0</v>
      </c>
      <c r="M134" s="47">
        <f>COUNTIFS('Recommendations'!G:G,"Phase3",'Recommendations'!E:E,"Could")</f>
        <v>0</v>
      </c>
      <c r="N134" s="47">
        <f>COUNTIFS('Recommendations'!G:G,"Phase3",'Recommendations'!E:E,"Won't")</f>
        <v>0</v>
      </c>
      <c r="O134" s="47">
        <f>COUNTIFS('Recommendations'!G:G,"Phase3",'Recommendations'!E:E,"Unassigned")</f>
        <v>0</v>
      </c>
    </row>
    <row r="135" spans="2:16" x14ac:dyDescent="0.35">
      <c r="B135" s="50" t="s">
        <v>467</v>
      </c>
      <c r="C135" s="298" t="s">
        <v>21</v>
      </c>
      <c r="D135" s="298"/>
      <c r="E135" s="47">
        <f>COUNTIF('Recommendations'!G:G,"Phase4")-COUNTIFS('Recommendations'!G:G,"Phase4",'Recommendations'!H:H,"Risk Accepted")-COUNTIFS('Recommendations'!G:G,"Phase4",'Recommendations'!H:H,"N/A")</f>
        <v>0</v>
      </c>
      <c r="F135" s="47">
        <f>COUNTIFS('Recommendations'!G:G,"Phase4",'Recommendations'!M:M,"Resolved")</f>
        <v>0</v>
      </c>
      <c r="G135" s="299">
        <f t="shared" si="8"/>
        <v>0</v>
      </c>
      <c r="H135" s="299"/>
      <c r="J135" s="50" t="s">
        <v>467</v>
      </c>
      <c r="K135" s="47">
        <f>COUNTIFS('Recommendations'!G:G,"Phase4",'Recommendations'!E:E,"Must")</f>
        <v>0</v>
      </c>
      <c r="L135" s="47">
        <f>COUNTIFS('Recommendations'!G:G,"Phase4",'Recommendations'!E:E,"Should")</f>
        <v>0</v>
      </c>
      <c r="M135" s="47">
        <f>COUNTIFS('Recommendations'!G:G,"Phase4",'Recommendations'!E:E,"Could")</f>
        <v>0</v>
      </c>
      <c r="N135" s="47">
        <f>COUNTIFS('Recommendations'!G:G,"Phase4",'Recommendations'!E:E,"Won't")</f>
        <v>0</v>
      </c>
      <c r="O135" s="47">
        <f>COUNTIFS('Recommendations'!G:G,"Phase4",'Recommendations'!E:E,"Unassigned")</f>
        <v>0</v>
      </c>
    </row>
    <row r="136" spans="2:16" x14ac:dyDescent="0.35">
      <c r="B136" s="50" t="s">
        <v>468</v>
      </c>
      <c r="C136" s="298" t="s">
        <v>21</v>
      </c>
      <c r="D136" s="298"/>
      <c r="E136" s="47">
        <f>COUNTIF('Recommendations'!G:G,"Phase5")-COUNTIFS('Recommendations'!G:G,"Phase5",'Recommendations'!H:H,"Risk Accepted")-COUNTIFS('Recommendations'!G:G,"Phase5",'Recommendations'!H:H,"N/A")</f>
        <v>0</v>
      </c>
      <c r="F136" s="47">
        <f>COUNTIFS('Recommendations'!G:G,"Phase5",'Recommendations'!M:M,"Resolved")</f>
        <v>0</v>
      </c>
      <c r="G136" s="299">
        <f t="shared" si="8"/>
        <v>0</v>
      </c>
      <c r="H136" s="299"/>
      <c r="J136" s="50" t="s">
        <v>468</v>
      </c>
      <c r="K136" s="47">
        <f>COUNTIFS('Recommendations'!G:G,"Phase5",'Recommendations'!E:E,"Must")</f>
        <v>0</v>
      </c>
      <c r="L136" s="47">
        <f>COUNTIFS('Recommendations'!G:G,"Phase5",'Recommendations'!E:E,"Should")</f>
        <v>0</v>
      </c>
      <c r="M136" s="47">
        <f>COUNTIFS('Recommendations'!G:G,"Phase5",'Recommendations'!E:E,"Could")</f>
        <v>0</v>
      </c>
      <c r="N136" s="47">
        <f>COUNTIFS('Recommendations'!G:G,"Phase5",'Recommendations'!E:E,"Won't")</f>
        <v>0</v>
      </c>
      <c r="O136" s="47">
        <f>COUNTIFS('Recommendations'!G:G,"Phase5",'Recommendations'!E:E,"Unassigned")</f>
        <v>0</v>
      </c>
    </row>
    <row r="137" spans="2:16" x14ac:dyDescent="0.35">
      <c r="B137" s="50" t="s">
        <v>20</v>
      </c>
      <c r="C137" s="298" t="s">
        <v>21</v>
      </c>
      <c r="D137" s="298"/>
      <c r="E137" s="47">
        <f>COUNTIF('Recommendations'!G:G,"Pending")-COUNTIFS('Recommendations'!G:G,"Pending",'Recommendations'!H:H,"Risk Accepted")-COUNTIFS('Recommendations'!G:G,"Pending",'Recommendations'!H:H,"N/A")</f>
        <v>68</v>
      </c>
      <c r="F137" s="47">
        <f>COUNTIFS('Recommendations'!G:G,"Pending",'Recommendations'!M:M,"Resolved")</f>
        <v>0</v>
      </c>
      <c r="G137" s="299">
        <f t="shared" si="8"/>
        <v>0</v>
      </c>
      <c r="H137" s="299"/>
      <c r="J137" s="50" t="s">
        <v>20</v>
      </c>
      <c r="K137" s="47">
        <f>COUNTIFS('Recommendations'!G:G,"Pending",'Recommendations'!E:E,"Must")</f>
        <v>0</v>
      </c>
      <c r="L137" s="47">
        <f>COUNTIFS('Recommendations'!G:G,"Pending",'Recommendations'!E:E,"Should")</f>
        <v>0</v>
      </c>
      <c r="M137" s="47">
        <f>COUNTIFS('Recommendations'!G:G,"Pending",'Recommendations'!E:E,"Could")</f>
        <v>0</v>
      </c>
      <c r="N137" s="47">
        <f>COUNTIFS('Recommendations'!G:G,"Pending",'Recommendations'!E:E,"Won't")</f>
        <v>0</v>
      </c>
      <c r="O137" s="47">
        <f>COUNTIFS('Recommendations'!G:G,"Pending",'Recommendations'!E:E,"Unassigned")</f>
        <v>68</v>
      </c>
    </row>
    <row r="144" spans="2:16" ht="21" x14ac:dyDescent="0.5">
      <c r="B144" s="42" t="s">
        <v>484</v>
      </c>
      <c r="P144" s="59" t="s">
        <v>485</v>
      </c>
    </row>
    <row r="146" spans="2:24" ht="60" customHeight="1" x14ac:dyDescent="0.35">
      <c r="B146" s="300" t="s">
        <v>486</v>
      </c>
      <c r="C146" s="293"/>
      <c r="D146" s="293"/>
      <c r="E146" s="293"/>
      <c r="F146" s="293"/>
      <c r="P146" s="300" t="s">
        <v>487</v>
      </c>
      <c r="Q146" s="293"/>
      <c r="R146" s="293"/>
      <c r="S146" s="293"/>
      <c r="T146" s="293"/>
      <c r="U146" s="293"/>
      <c r="V146" s="293"/>
      <c r="W146" s="293"/>
    </row>
    <row r="148" spans="2:24" ht="30" customHeight="1" x14ac:dyDescent="0.35">
      <c r="P148" s="60" t="s">
        <v>488</v>
      </c>
      <c r="Q148" s="61">
        <f>C16</f>
        <v>0</v>
      </c>
      <c r="R148" s="62"/>
      <c r="S148" s="61">
        <f>C94</f>
        <v>0</v>
      </c>
      <c r="T148" s="62"/>
      <c r="U148" s="61">
        <f>C95</f>
        <v>0</v>
      </c>
      <c r="V148" s="62"/>
      <c r="W148" s="61">
        <f>C96</f>
        <v>0</v>
      </c>
      <c r="X148" s="62"/>
    </row>
    <row r="149" spans="2:24" ht="35" customHeight="1" x14ac:dyDescent="0.35">
      <c r="P149" s="63" t="s">
        <v>489</v>
      </c>
      <c r="Q149" s="63" t="s">
        <v>490</v>
      </c>
      <c r="R149" s="63" t="s">
        <v>491</v>
      </c>
      <c r="S149" s="63" t="s">
        <v>492</v>
      </c>
      <c r="T149" s="63" t="s">
        <v>493</v>
      </c>
      <c r="U149" s="63" t="s">
        <v>494</v>
      </c>
      <c r="V149" s="63" t="s">
        <v>495</v>
      </c>
      <c r="W149" s="63" t="s">
        <v>496</v>
      </c>
      <c r="X149" s="63" t="s">
        <v>497</v>
      </c>
    </row>
    <row r="150" spans="2:24" x14ac:dyDescent="0.35">
      <c r="O150" s="64" t="s">
        <v>498</v>
      </c>
      <c r="P150" s="65" t="s">
        <v>499</v>
      </c>
      <c r="Q150" s="66">
        <v>0</v>
      </c>
      <c r="R150" s="67">
        <f>IF(Dashboard!F16&gt;0, Q150/Dashboard!F16, "")</f>
        <v>0</v>
      </c>
      <c r="S150" s="66">
        <v>0</v>
      </c>
      <c r="T150" s="67" t="str">
        <f>IF(AND(NOT(ISBLANK(S150)),Dashboard!F94&gt;0), S150/Dashboard!F94, "")</f>
        <v/>
      </c>
      <c r="U150" s="66">
        <v>0</v>
      </c>
      <c r="V150" s="67" t="str">
        <f>IF(AND(NOT(ISBLANK(U150)),Dashboard!F95&gt;0), U150/Dashboard!F95, "")</f>
        <v/>
      </c>
      <c r="W150" s="66">
        <v>0</v>
      </c>
      <c r="X150" s="67" t="str">
        <f>IF(AND(NOT(ISBLANK(W150)),Dashboard!F96&gt;0), W150/Dashboard!F96, "")</f>
        <v/>
      </c>
    </row>
    <row r="151" spans="2:24" x14ac:dyDescent="0.35">
      <c r="P151" s="58"/>
      <c r="Q151" s="45"/>
      <c r="R151" s="48" t="str">
        <f>IF(AND(NOT(ISBLANK(Q151)),Dashboard!F16&gt;0), Q151/Dashboard!F16, "")</f>
        <v/>
      </c>
      <c r="S151" s="45"/>
      <c r="T151" s="48" t="str">
        <f>IF(AND(NOT(ISBLANK(S151)),Dashboard!F94&gt;0), S151/Dashboard!F94, "")</f>
        <v/>
      </c>
      <c r="U151" s="45"/>
      <c r="V151" s="48" t="str">
        <f>IF(AND(NOT(ISBLANK(U151)),Dashboard!F95&gt;0), U151/Dashboard!F95, "")</f>
        <v/>
      </c>
      <c r="W151" s="45"/>
      <c r="X151" s="48" t="str">
        <f>IF(AND(NOT(ISBLANK(W151)),Dashboard!F96&gt;0), W151/Dashboard!F96, "")</f>
        <v/>
      </c>
    </row>
    <row r="152" spans="2:24" x14ac:dyDescent="0.35">
      <c r="P152" s="58"/>
      <c r="Q152" s="45"/>
      <c r="R152" s="48" t="str">
        <f>IF(AND(NOT(ISBLANK(Q152)),Dashboard!F16&gt;0), Q152/Dashboard!F16, "")</f>
        <v/>
      </c>
      <c r="S152" s="45"/>
      <c r="T152" s="48" t="str">
        <f>IF(AND(NOT(ISBLANK(S152)),Dashboard!F94&gt;0), S152/Dashboard!F94, "")</f>
        <v/>
      </c>
      <c r="U152" s="45"/>
      <c r="V152" s="48" t="str">
        <f>IF(AND(NOT(ISBLANK(U152)),Dashboard!F95&gt;0), U152/Dashboard!F95, "")</f>
        <v/>
      </c>
      <c r="W152" s="45"/>
      <c r="X152" s="48" t="str">
        <f>IF(AND(NOT(ISBLANK(W152)),Dashboard!F96&gt;0), W152/Dashboard!F96, "")</f>
        <v/>
      </c>
    </row>
    <row r="153" spans="2:24" x14ac:dyDescent="0.35">
      <c r="P153" s="58"/>
      <c r="Q153" s="45"/>
      <c r="R153" s="48" t="str">
        <f>IF(AND(NOT(ISBLANK(Q153)),Dashboard!F16&gt;0), Q153/Dashboard!F16, "")</f>
        <v/>
      </c>
      <c r="S153" s="45"/>
      <c r="T153" s="48" t="str">
        <f>IF(AND(NOT(ISBLANK(S153)),Dashboard!F94&gt;0), S153/Dashboard!F94, "")</f>
        <v/>
      </c>
      <c r="U153" s="45"/>
      <c r="V153" s="48" t="str">
        <f>IF(AND(NOT(ISBLANK(U153)),Dashboard!F95&gt;0), U153/Dashboard!F95, "")</f>
        <v/>
      </c>
      <c r="W153" s="45"/>
      <c r="X153" s="48" t="str">
        <f>IF(AND(NOT(ISBLANK(W153)),Dashboard!F96&gt;0), W153/Dashboard!F96, "")</f>
        <v/>
      </c>
    </row>
    <row r="154" spans="2:24" x14ac:dyDescent="0.35">
      <c r="P154" s="58"/>
      <c r="Q154" s="45"/>
      <c r="R154" s="48" t="str">
        <f>IF(AND(NOT(ISBLANK(Q154)),Dashboard!F16&gt;0), Q154/Dashboard!F16, "")</f>
        <v/>
      </c>
      <c r="S154" s="45"/>
      <c r="T154" s="48" t="str">
        <f>IF(AND(NOT(ISBLANK(S154)),Dashboard!F94&gt;0), S154/Dashboard!F94, "")</f>
        <v/>
      </c>
      <c r="U154" s="45"/>
      <c r="V154" s="48" t="str">
        <f>IF(AND(NOT(ISBLANK(U154)),Dashboard!F95&gt;0), U154/Dashboard!F95, "")</f>
        <v/>
      </c>
      <c r="W154" s="45"/>
      <c r="X154" s="48" t="str">
        <f>IF(AND(NOT(ISBLANK(W154)),Dashboard!F96&gt;0), W154/Dashboard!F96, "")</f>
        <v/>
      </c>
    </row>
    <row r="155" spans="2:24" x14ac:dyDescent="0.35">
      <c r="P155" s="58"/>
      <c r="Q155" s="45"/>
      <c r="R155" s="48" t="str">
        <f>IF(AND(NOT(ISBLANK(Q155)),Dashboard!F16&gt;0), Q155/Dashboard!F16, "")</f>
        <v/>
      </c>
      <c r="S155" s="45"/>
      <c r="T155" s="48" t="str">
        <f>IF(AND(NOT(ISBLANK(S155)),Dashboard!F94&gt;0), S155/Dashboard!F94, "")</f>
        <v/>
      </c>
      <c r="U155" s="45"/>
      <c r="V155" s="48" t="str">
        <f>IF(AND(NOT(ISBLANK(U155)),Dashboard!F95&gt;0), U155/Dashboard!F95, "")</f>
        <v/>
      </c>
      <c r="W155" s="45"/>
      <c r="X155" s="48" t="str">
        <f>IF(AND(NOT(ISBLANK(W155)),Dashboard!F96&gt;0), W155/Dashboard!F96, "")</f>
        <v/>
      </c>
    </row>
    <row r="156" spans="2:24" x14ac:dyDescent="0.35">
      <c r="P156" s="58"/>
      <c r="Q156" s="45"/>
      <c r="R156" s="48" t="str">
        <f>IF(AND(NOT(ISBLANK(Q156)),Dashboard!F16&gt;0), Q156/Dashboard!F16, "")</f>
        <v/>
      </c>
      <c r="S156" s="45"/>
      <c r="T156" s="48" t="str">
        <f>IF(AND(NOT(ISBLANK(S156)),Dashboard!F94&gt;0), S156/Dashboard!F94, "")</f>
        <v/>
      </c>
      <c r="U156" s="45"/>
      <c r="V156" s="48" t="str">
        <f>IF(AND(NOT(ISBLANK(U156)),Dashboard!F95&gt;0), U156/Dashboard!F95, "")</f>
        <v/>
      </c>
      <c r="W156" s="45"/>
      <c r="X156" s="48" t="str">
        <f>IF(AND(NOT(ISBLANK(W156)),Dashboard!F96&gt;0), W156/Dashboard!F96, "")</f>
        <v/>
      </c>
    </row>
    <row r="157" spans="2:24" x14ac:dyDescent="0.35">
      <c r="P157" s="58"/>
      <c r="Q157" s="45"/>
      <c r="R157" s="48" t="str">
        <f>IF(AND(NOT(ISBLANK(Q157)),Dashboard!F16&gt;0), Q157/Dashboard!F16, "")</f>
        <v/>
      </c>
      <c r="S157" s="45"/>
      <c r="T157" s="48" t="str">
        <f>IF(AND(NOT(ISBLANK(S157)),Dashboard!F94&gt;0), S157/Dashboard!F94, "")</f>
        <v/>
      </c>
      <c r="U157" s="45"/>
      <c r="V157" s="48" t="str">
        <f>IF(AND(NOT(ISBLANK(U157)),Dashboard!F95&gt;0), U157/Dashboard!F95, "")</f>
        <v/>
      </c>
      <c r="W157" s="45"/>
      <c r="X157" s="48" t="str">
        <f>IF(AND(NOT(ISBLANK(W157)),Dashboard!F96&gt;0), W157/Dashboard!F96, "")</f>
        <v/>
      </c>
    </row>
    <row r="158" spans="2:24" x14ac:dyDescent="0.35">
      <c r="P158" s="58"/>
      <c r="Q158" s="45"/>
      <c r="R158" s="48" t="str">
        <f>IF(AND(NOT(ISBLANK(Q158)),Dashboard!F16&gt;0), Q158/Dashboard!F16, "")</f>
        <v/>
      </c>
      <c r="S158" s="45"/>
      <c r="T158" s="48" t="str">
        <f>IF(AND(NOT(ISBLANK(S158)),Dashboard!F94&gt;0), S158/Dashboard!F94, "")</f>
        <v/>
      </c>
      <c r="U158" s="45"/>
      <c r="V158" s="48" t="str">
        <f>IF(AND(NOT(ISBLANK(U158)),Dashboard!F95&gt;0), U158/Dashboard!F95, "")</f>
        <v/>
      </c>
      <c r="W158" s="45"/>
      <c r="X158" s="48" t="str">
        <f>IF(AND(NOT(ISBLANK(W158)),Dashboard!F96&gt;0), W158/Dashboard!F96, "")</f>
        <v/>
      </c>
    </row>
    <row r="159" spans="2:24" x14ac:dyDescent="0.35">
      <c r="P159" s="58"/>
      <c r="Q159" s="45"/>
      <c r="R159" s="48" t="str">
        <f>IF(AND(NOT(ISBLANK(Q159)),Dashboard!F16&gt;0), Q159/Dashboard!F16, "")</f>
        <v/>
      </c>
      <c r="S159" s="45"/>
      <c r="T159" s="48" t="str">
        <f>IF(AND(NOT(ISBLANK(S159)),Dashboard!F94&gt;0), S159/Dashboard!F94, "")</f>
        <v/>
      </c>
      <c r="U159" s="45"/>
      <c r="V159" s="48" t="str">
        <f>IF(AND(NOT(ISBLANK(U159)),Dashboard!F95&gt;0), U159/Dashboard!F95, "")</f>
        <v/>
      </c>
      <c r="W159" s="45"/>
      <c r="X159" s="48" t="str">
        <f>IF(AND(NOT(ISBLANK(W159)),Dashboard!F96&gt;0), W159/Dashboard!F96, "")</f>
        <v/>
      </c>
    </row>
    <row r="160" spans="2:24" x14ac:dyDescent="0.35">
      <c r="P160" s="58"/>
      <c r="Q160" s="45"/>
      <c r="R160" s="48" t="str">
        <f>IF(AND(NOT(ISBLANK(Q160)),Dashboard!F16&gt;0), Q160/Dashboard!F16, "")</f>
        <v/>
      </c>
      <c r="S160" s="45"/>
      <c r="T160" s="48" t="str">
        <f>IF(AND(NOT(ISBLANK(S160)),Dashboard!F94&gt;0), S160/Dashboard!F94, "")</f>
        <v/>
      </c>
      <c r="U160" s="45"/>
      <c r="V160" s="48" t="str">
        <f>IF(AND(NOT(ISBLANK(U160)),Dashboard!F95&gt;0), U160/Dashboard!F95, "")</f>
        <v/>
      </c>
      <c r="W160" s="45"/>
      <c r="X160" s="48" t="str">
        <f>IF(AND(NOT(ISBLANK(W160)),Dashboard!F96&gt;0), W160/Dashboard!F96, "")</f>
        <v/>
      </c>
    </row>
    <row r="161" spans="16:24" x14ac:dyDescent="0.35">
      <c r="P161" s="58"/>
      <c r="Q161" s="45"/>
      <c r="R161" s="48" t="str">
        <f>IF(AND(NOT(ISBLANK(Q161)),Dashboard!F16&gt;0), Q161/Dashboard!F16, "")</f>
        <v/>
      </c>
      <c r="S161" s="45"/>
      <c r="T161" s="48" t="str">
        <f>IF(AND(NOT(ISBLANK(S161)),Dashboard!F94&gt;0), S161/Dashboard!F94, "")</f>
        <v/>
      </c>
      <c r="U161" s="45"/>
      <c r="V161" s="48" t="str">
        <f>IF(AND(NOT(ISBLANK(U161)),Dashboard!F95&gt;0), U161/Dashboard!F95, "")</f>
        <v/>
      </c>
      <c r="W161" s="45"/>
      <c r="X161" s="48" t="str">
        <f>IF(AND(NOT(ISBLANK(W161)),Dashboard!F96&gt;0), W161/Dashboard!F96, "")</f>
        <v/>
      </c>
    </row>
    <row r="162" spans="16:24" x14ac:dyDescent="0.35">
      <c r="P162" s="58"/>
      <c r="Q162" s="45"/>
      <c r="R162" s="48" t="str">
        <f>IF(AND(NOT(ISBLANK(Q162)),Dashboard!F16&gt;0), Q162/Dashboard!F16, "")</f>
        <v/>
      </c>
      <c r="S162" s="45"/>
      <c r="T162" s="48" t="str">
        <f>IF(AND(NOT(ISBLANK(S162)),Dashboard!F94&gt;0), S162/Dashboard!F94, "")</f>
        <v/>
      </c>
      <c r="U162" s="45"/>
      <c r="V162" s="48" t="str">
        <f>IF(AND(NOT(ISBLANK(U162)),Dashboard!F95&gt;0), U162/Dashboard!F95, "")</f>
        <v/>
      </c>
      <c r="W162" s="45"/>
      <c r="X162" s="48" t="str">
        <f>IF(AND(NOT(ISBLANK(W162)),Dashboard!F96&gt;0), W162/Dashboard!F96, "")</f>
        <v/>
      </c>
    </row>
    <row r="163" spans="16:24" x14ac:dyDescent="0.35">
      <c r="P163" s="58"/>
      <c r="Q163" s="45"/>
      <c r="R163" s="48" t="str">
        <f>IF(AND(NOT(ISBLANK(Q163)),Dashboard!F16&gt;0), Q163/Dashboard!F16, "")</f>
        <v/>
      </c>
      <c r="S163" s="45"/>
      <c r="T163" s="48" t="str">
        <f>IF(AND(NOT(ISBLANK(S163)),Dashboard!F94&gt;0), S163/Dashboard!F94, "")</f>
        <v/>
      </c>
      <c r="U163" s="45"/>
      <c r="V163" s="48" t="str">
        <f>IF(AND(NOT(ISBLANK(U163)),Dashboard!F95&gt;0), U163/Dashboard!F95, "")</f>
        <v/>
      </c>
      <c r="W163" s="45"/>
      <c r="X163" s="48" t="str">
        <f>IF(AND(NOT(ISBLANK(W163)),Dashboard!F96&gt;0), W163/Dashboard!F96, "")</f>
        <v/>
      </c>
    </row>
    <row r="164" spans="16:24" x14ac:dyDescent="0.35">
      <c r="P164" s="58"/>
      <c r="Q164" s="45"/>
      <c r="R164" s="48" t="str">
        <f>IF(AND(NOT(ISBLANK(Q164)),Dashboard!F16&gt;0), Q164/Dashboard!F16, "")</f>
        <v/>
      </c>
      <c r="S164" s="45"/>
      <c r="T164" s="48" t="str">
        <f>IF(AND(NOT(ISBLANK(S164)),Dashboard!F94&gt;0), S164/Dashboard!F94, "")</f>
        <v/>
      </c>
      <c r="U164" s="45"/>
      <c r="V164" s="48" t="str">
        <f>IF(AND(NOT(ISBLANK(U164)),Dashboard!F95&gt;0), U164/Dashboard!F95, "")</f>
        <v/>
      </c>
      <c r="W164" s="45"/>
      <c r="X164" s="48" t="str">
        <f>IF(AND(NOT(ISBLANK(W164)),Dashboard!F96&gt;0), W164/Dashboard!F96, "")</f>
        <v/>
      </c>
    </row>
    <row r="165" spans="16:24" x14ac:dyDescent="0.35">
      <c r="P165" s="58"/>
      <c r="Q165" s="45"/>
      <c r="R165" s="48" t="str">
        <f>IF(AND(NOT(ISBLANK(Q165)),Dashboard!F16&gt;0), Q165/Dashboard!F16, "")</f>
        <v/>
      </c>
      <c r="S165" s="45"/>
      <c r="T165" s="48" t="str">
        <f>IF(AND(NOT(ISBLANK(S165)),Dashboard!F94&gt;0), S165/Dashboard!F94, "")</f>
        <v/>
      </c>
      <c r="U165" s="45"/>
      <c r="V165" s="48" t="str">
        <f>IF(AND(NOT(ISBLANK(U165)),Dashboard!F95&gt;0), U165/Dashboard!F95, "")</f>
        <v/>
      </c>
      <c r="W165" s="45"/>
      <c r="X165" s="48" t="str">
        <f>IF(AND(NOT(ISBLANK(W165)),Dashboard!F96&gt;0), W165/Dashboard!F96, "")</f>
        <v/>
      </c>
    </row>
    <row r="166" spans="16:24" x14ac:dyDescent="0.35">
      <c r="P166" s="58"/>
      <c r="Q166" s="45"/>
      <c r="R166" s="48" t="str">
        <f>IF(AND(NOT(ISBLANK(Q166)),Dashboard!F16&gt;0), Q166/Dashboard!F16, "")</f>
        <v/>
      </c>
      <c r="S166" s="45"/>
      <c r="T166" s="48" t="str">
        <f>IF(AND(NOT(ISBLANK(S166)),Dashboard!F94&gt;0), S166/Dashboard!F94, "")</f>
        <v/>
      </c>
      <c r="U166" s="45"/>
      <c r="V166" s="48" t="str">
        <f>IF(AND(NOT(ISBLANK(U166)),Dashboard!F95&gt;0), U166/Dashboard!F95, "")</f>
        <v/>
      </c>
      <c r="W166" s="45"/>
      <c r="X166" s="48" t="str">
        <f>IF(AND(NOT(ISBLANK(W166)),Dashboard!F96&gt;0), W166/Dashboard!F96, "")</f>
        <v/>
      </c>
    </row>
    <row r="167" spans="16:24" x14ac:dyDescent="0.35">
      <c r="P167" s="58"/>
      <c r="Q167" s="45"/>
      <c r="R167" s="48" t="str">
        <f>IF(AND(NOT(ISBLANK(Q167)),Dashboard!F16&gt;0), Q167/Dashboard!F16, "")</f>
        <v/>
      </c>
      <c r="S167" s="45"/>
      <c r="T167" s="48" t="str">
        <f>IF(AND(NOT(ISBLANK(S167)),Dashboard!F94&gt;0), S167/Dashboard!F94, "")</f>
        <v/>
      </c>
      <c r="U167" s="45"/>
      <c r="V167" s="48" t="str">
        <f>IF(AND(NOT(ISBLANK(U167)),Dashboard!F95&gt;0), U167/Dashboard!F95, "")</f>
        <v/>
      </c>
      <c r="W167" s="45"/>
      <c r="X167" s="48" t="str">
        <f>IF(AND(NOT(ISBLANK(W167)),Dashboard!F96&gt;0), W167/Dashboard!F96, "")</f>
        <v/>
      </c>
    </row>
    <row r="168" spans="16:24" x14ac:dyDescent="0.35">
      <c r="P168" s="58"/>
      <c r="Q168" s="45"/>
      <c r="R168" s="48" t="str">
        <f>IF(AND(NOT(ISBLANK(Q168)),Dashboard!F16&gt;0), Q168/Dashboard!F16, "")</f>
        <v/>
      </c>
      <c r="S168" s="45"/>
      <c r="T168" s="48" t="str">
        <f>IF(AND(NOT(ISBLANK(S168)),Dashboard!F94&gt;0), S168/Dashboard!F94, "")</f>
        <v/>
      </c>
      <c r="U168" s="45"/>
      <c r="V168" s="48" t="str">
        <f>IF(AND(NOT(ISBLANK(U168)),Dashboard!F95&gt;0), U168/Dashboard!F95, "")</f>
        <v/>
      </c>
      <c r="W168" s="45"/>
      <c r="X168" s="48" t="str">
        <f>IF(AND(NOT(ISBLANK(W168)),Dashboard!F96&gt;0), W168/Dashboard!F96, "")</f>
        <v/>
      </c>
    </row>
    <row r="169" spans="16:24" x14ac:dyDescent="0.35">
      <c r="P169" s="58"/>
      <c r="Q169" s="45"/>
      <c r="R169" s="48" t="str">
        <f>IF(AND(NOT(ISBLANK(Q169)),Dashboard!F16&gt;0), Q169/Dashboard!F16, "")</f>
        <v/>
      </c>
      <c r="S169" s="45"/>
      <c r="T169" s="48" t="str">
        <f>IF(AND(NOT(ISBLANK(S169)),Dashboard!F94&gt;0), S169/Dashboard!F94, "")</f>
        <v/>
      </c>
      <c r="U169" s="45"/>
      <c r="V169" s="48" t="str">
        <f>IF(AND(NOT(ISBLANK(U169)),Dashboard!F95&gt;0), U169/Dashboard!F95, "")</f>
        <v/>
      </c>
      <c r="W169" s="45"/>
      <c r="X169" s="48" t="str">
        <f>IF(AND(NOT(ISBLANK(W169)),Dashboard!F96&gt;0), W169/Dashboard!F96, "")</f>
        <v/>
      </c>
    </row>
    <row r="170" spans="16:24" x14ac:dyDescent="0.35">
      <c r="P170" s="58"/>
      <c r="Q170" s="45"/>
      <c r="R170" s="48" t="str">
        <f>IF(AND(NOT(ISBLANK(Q170)),Dashboard!F16&gt;0), Q170/Dashboard!F16, "")</f>
        <v/>
      </c>
      <c r="S170" s="45"/>
      <c r="T170" s="48" t="str">
        <f>IF(AND(NOT(ISBLANK(S170)),Dashboard!F94&gt;0), S170/Dashboard!F94, "")</f>
        <v/>
      </c>
      <c r="U170" s="45"/>
      <c r="V170" s="48" t="str">
        <f>IF(AND(NOT(ISBLANK(U170)),Dashboard!F95&gt;0), U170/Dashboard!F95, "")</f>
        <v/>
      </c>
      <c r="W170" s="45"/>
      <c r="X170" s="48" t="str">
        <f>IF(AND(NOT(ISBLANK(W170)),Dashboard!F96&gt;0), W170/Dashboard!F96, "")</f>
        <v/>
      </c>
    </row>
    <row r="171" spans="16:24" x14ac:dyDescent="0.35">
      <c r="P171" s="58"/>
      <c r="Q171" s="45"/>
      <c r="R171" s="48" t="str">
        <f>IF(AND(NOT(ISBLANK(Q171)),Dashboard!F16&gt;0), Q171/Dashboard!F16, "")</f>
        <v/>
      </c>
      <c r="S171" s="45"/>
      <c r="T171" s="48" t="str">
        <f>IF(AND(NOT(ISBLANK(S171)),Dashboard!F94&gt;0), S171/Dashboard!F94, "")</f>
        <v/>
      </c>
      <c r="U171" s="45"/>
      <c r="V171" s="48" t="str">
        <f>IF(AND(NOT(ISBLANK(U171)),Dashboard!F95&gt;0), U171/Dashboard!F95, "")</f>
        <v/>
      </c>
      <c r="W171" s="45"/>
      <c r="X171" s="48" t="str">
        <f>IF(AND(NOT(ISBLANK(W171)),Dashboard!F96&gt;0), W171/Dashboard!F96, "")</f>
        <v/>
      </c>
    </row>
    <row r="172" spans="16:24" x14ac:dyDescent="0.35">
      <c r="P172" s="58"/>
      <c r="Q172" s="45"/>
      <c r="R172" s="48" t="str">
        <f>IF(AND(NOT(ISBLANK(Q172)),Dashboard!F16&gt;0), Q172/Dashboard!F16, "")</f>
        <v/>
      </c>
      <c r="S172" s="45"/>
      <c r="T172" s="48" t="str">
        <f>IF(AND(NOT(ISBLANK(S172)),Dashboard!F94&gt;0), S172/Dashboard!F94, "")</f>
        <v/>
      </c>
      <c r="U172" s="45"/>
      <c r="V172" s="48" t="str">
        <f>IF(AND(NOT(ISBLANK(U172)),Dashboard!F95&gt;0), U172/Dashboard!F95, "")</f>
        <v/>
      </c>
      <c r="W172" s="45"/>
      <c r="X172" s="48" t="str">
        <f>IF(AND(NOT(ISBLANK(W172)),Dashboard!F96&gt;0), W172/Dashboard!F96, "")</f>
        <v/>
      </c>
    </row>
    <row r="173" spans="16:24" x14ac:dyDescent="0.35">
      <c r="P173" s="58"/>
      <c r="Q173" s="45"/>
      <c r="R173" s="48" t="str">
        <f>IF(AND(NOT(ISBLANK(Q173)),Dashboard!F16&gt;0), Q173/Dashboard!F16, "")</f>
        <v/>
      </c>
      <c r="S173" s="45"/>
      <c r="T173" s="48" t="str">
        <f>IF(AND(NOT(ISBLANK(S173)),Dashboard!F94&gt;0), S173/Dashboard!F94, "")</f>
        <v/>
      </c>
      <c r="U173" s="45"/>
      <c r="V173" s="48" t="str">
        <f>IF(AND(NOT(ISBLANK(U173)),Dashboard!F95&gt;0), U173/Dashboard!F95, "")</f>
        <v/>
      </c>
      <c r="W173" s="45"/>
      <c r="X173" s="48" t="str">
        <f>IF(AND(NOT(ISBLANK(W173)),Dashboard!F96&gt;0), W173/Dashboard!F96, "")</f>
        <v/>
      </c>
    </row>
    <row r="174" spans="16:24" x14ac:dyDescent="0.35">
      <c r="P174" s="58"/>
      <c r="Q174" s="45"/>
      <c r="R174" s="48" t="str">
        <f>IF(AND(NOT(ISBLANK(Q174)),Dashboard!F16&gt;0), Q174/Dashboard!F16, "")</f>
        <v/>
      </c>
      <c r="S174" s="45"/>
      <c r="T174" s="48" t="str">
        <f>IF(AND(NOT(ISBLANK(S174)),Dashboard!F94&gt;0), S174/Dashboard!F94, "")</f>
        <v/>
      </c>
      <c r="U174" s="45"/>
      <c r="V174" s="48" t="str">
        <f>IF(AND(NOT(ISBLANK(U174)),Dashboard!F95&gt;0), U174/Dashboard!F95, "")</f>
        <v/>
      </c>
      <c r="W174" s="45"/>
      <c r="X174" s="48" t="str">
        <f>IF(AND(NOT(ISBLANK(W174)),Dashboard!F96&gt;0), W174/Dashboard!F96, "")</f>
        <v/>
      </c>
    </row>
    <row r="175" spans="16:24" x14ac:dyDescent="0.35">
      <c r="P175" s="58"/>
      <c r="Q175" s="45"/>
      <c r="R175" s="48" t="str">
        <f>IF(AND(NOT(ISBLANK(Q175)),Dashboard!F16&gt;0), Q175/Dashboard!F16, "")</f>
        <v/>
      </c>
      <c r="S175" s="45"/>
      <c r="T175" s="48" t="str">
        <f>IF(AND(NOT(ISBLANK(S175)),Dashboard!F94&gt;0), S175/Dashboard!F94, "")</f>
        <v/>
      </c>
      <c r="U175" s="45"/>
      <c r="V175" s="48" t="str">
        <f>IF(AND(NOT(ISBLANK(U175)),Dashboard!F95&gt;0), U175/Dashboard!F95, "")</f>
        <v/>
      </c>
      <c r="W175" s="45"/>
      <c r="X175" s="48" t="str">
        <f>IF(AND(NOT(ISBLANK(W175)),Dashboard!F96&gt;0), W175/Dashboard!F96, "")</f>
        <v/>
      </c>
    </row>
    <row r="176" spans="16:24" x14ac:dyDescent="0.35">
      <c r="P176" s="58"/>
      <c r="Q176" s="45"/>
      <c r="R176" s="48" t="str">
        <f>IF(AND(NOT(ISBLANK(Q176)),Dashboard!F16&gt;0), Q176/Dashboard!F16, "")</f>
        <v/>
      </c>
      <c r="S176" s="45"/>
      <c r="T176" s="48" t="str">
        <f>IF(AND(NOT(ISBLANK(S176)),Dashboard!F94&gt;0), S176/Dashboard!F94, "")</f>
        <v/>
      </c>
      <c r="U176" s="45"/>
      <c r="V176" s="48" t="str">
        <f>IF(AND(NOT(ISBLANK(U176)),Dashboard!F95&gt;0), U176/Dashboard!F95, "")</f>
        <v/>
      </c>
      <c r="W176" s="45"/>
      <c r="X176" s="48" t="str">
        <f>IF(AND(NOT(ISBLANK(W176)),Dashboard!F96&gt;0), W176/Dashboard!F96, "")</f>
        <v/>
      </c>
    </row>
    <row r="177" spans="2:24" x14ac:dyDescent="0.35">
      <c r="P177" s="58"/>
      <c r="Q177" s="45"/>
      <c r="R177" s="48" t="str">
        <f>IF(AND(NOT(ISBLANK(Q177)),Dashboard!F16&gt;0), Q177/Dashboard!F16, "")</f>
        <v/>
      </c>
      <c r="S177" s="45"/>
      <c r="T177" s="48" t="str">
        <f>IF(AND(NOT(ISBLANK(S177)),Dashboard!F94&gt;0), S177/Dashboard!F94, "")</f>
        <v/>
      </c>
      <c r="U177" s="45"/>
      <c r="V177" s="48" t="str">
        <f>IF(AND(NOT(ISBLANK(U177)),Dashboard!F95&gt;0), U177/Dashboard!F95, "")</f>
        <v/>
      </c>
      <c r="W177" s="45"/>
      <c r="X177" s="48" t="str">
        <f>IF(AND(NOT(ISBLANK(W177)),Dashboard!F96&gt;0), W177/Dashboard!F96, "")</f>
        <v/>
      </c>
    </row>
    <row r="178" spans="2:24" x14ac:dyDescent="0.35">
      <c r="P178" s="58"/>
      <c r="Q178" s="45"/>
      <c r="R178" s="48" t="str">
        <f>IF(AND(NOT(ISBLANK(Q178)),Dashboard!F16&gt;0), Q178/Dashboard!F16, "")</f>
        <v/>
      </c>
      <c r="S178" s="45"/>
      <c r="T178" s="48" t="str">
        <f>IF(AND(NOT(ISBLANK(S178)),Dashboard!F94&gt;0), S178/Dashboard!F94, "")</f>
        <v/>
      </c>
      <c r="U178" s="45"/>
      <c r="V178" s="48" t="str">
        <f>IF(AND(NOT(ISBLANK(U178)),Dashboard!F95&gt;0), U178/Dashboard!F95, "")</f>
        <v/>
      </c>
      <c r="W178" s="45"/>
      <c r="X178" s="48" t="str">
        <f>IF(AND(NOT(ISBLANK(W178)),Dashboard!F96&gt;0), W178/Dashboard!F96, "")</f>
        <v/>
      </c>
    </row>
    <row r="179" spans="2:24" x14ac:dyDescent="0.35">
      <c r="P179" s="58"/>
      <c r="Q179" s="45"/>
      <c r="R179" s="48" t="str">
        <f>IF(AND(NOT(ISBLANK(Q179)),Dashboard!F16&gt;0), Q179/Dashboard!F16, "")</f>
        <v/>
      </c>
      <c r="S179" s="45"/>
      <c r="T179" s="48" t="str">
        <f>IF(AND(NOT(ISBLANK(S179)),Dashboard!F94&gt;0), S179/Dashboard!F94, "")</f>
        <v/>
      </c>
      <c r="U179" s="45"/>
      <c r="V179" s="48" t="str">
        <f>IF(AND(NOT(ISBLANK(U179)),Dashboard!F95&gt;0), U179/Dashboard!F95, "")</f>
        <v/>
      </c>
      <c r="W179" s="45"/>
      <c r="X179" s="48" t="str">
        <f>IF(AND(NOT(ISBLANK(W179)),Dashboard!F96&gt;0), W179/Dashboard!F96, "")</f>
        <v/>
      </c>
    </row>
    <row r="180" spans="2:24" x14ac:dyDescent="0.35">
      <c r="P180" s="58"/>
      <c r="Q180" s="45"/>
      <c r="R180" s="48" t="str">
        <f>IF(AND(NOT(ISBLANK(Q180)),Dashboard!F16&gt;0), Q180/Dashboard!F16, "")</f>
        <v/>
      </c>
      <c r="S180" s="45"/>
      <c r="T180" s="48" t="str">
        <f>IF(AND(NOT(ISBLANK(S180)),Dashboard!F94&gt;0), S180/Dashboard!F94, "")</f>
        <v/>
      </c>
      <c r="U180" s="45"/>
      <c r="V180" s="48" t="str">
        <f>IF(AND(NOT(ISBLANK(U180)),Dashboard!F95&gt;0), U180/Dashboard!F95, "")</f>
        <v/>
      </c>
      <c r="W180" s="45"/>
      <c r="X180" s="48" t="str">
        <f>IF(AND(NOT(ISBLANK(W180)),Dashboard!F96&gt;0), W180/Dashboard!F96, "")</f>
        <v/>
      </c>
    </row>
    <row r="185" spans="2:24" ht="21" x14ac:dyDescent="0.5">
      <c r="B185" s="42" t="s">
        <v>500</v>
      </c>
      <c r="P185" s="59" t="s">
        <v>501</v>
      </c>
    </row>
    <row r="187" spans="2:24" ht="45" customHeight="1" x14ac:dyDescent="0.35">
      <c r="B187" s="300" t="s">
        <v>502</v>
      </c>
      <c r="C187" s="293"/>
      <c r="D187" s="293"/>
      <c r="E187" s="293"/>
      <c r="F187" s="293"/>
      <c r="P187" s="300" t="s">
        <v>503</v>
      </c>
      <c r="Q187" s="293"/>
      <c r="R187" s="293"/>
      <c r="S187" s="293"/>
      <c r="T187" s="293"/>
      <c r="U187" s="293"/>
    </row>
    <row r="188" spans="2:24" ht="35" customHeight="1" x14ac:dyDescent="0.35">
      <c r="P188" s="297" t="s">
        <v>504</v>
      </c>
      <c r="Q188" s="297"/>
      <c r="R188" s="297" t="s">
        <v>505</v>
      </c>
      <c r="S188" s="297"/>
      <c r="T188" s="297"/>
    </row>
    <row r="189" spans="2:24" ht="30" customHeight="1" x14ac:dyDescent="0.35">
      <c r="P189" s="301">
        <v>0</v>
      </c>
      <c r="Q189" s="302"/>
      <c r="R189" s="303" t="s">
        <v>506</v>
      </c>
      <c r="S189" s="304"/>
      <c r="T189" s="304"/>
    </row>
    <row r="192" spans="2:24" ht="25" customHeight="1" x14ac:dyDescent="0.35">
      <c r="P192" s="68" t="s">
        <v>489</v>
      </c>
      <c r="Q192" s="68" t="s">
        <v>507</v>
      </c>
      <c r="R192" s="68" t="s">
        <v>508</v>
      </c>
      <c r="S192" s="305" t="s">
        <v>8</v>
      </c>
      <c r="T192" s="305"/>
      <c r="U192" s="305"/>
      <c r="V192" s="293"/>
    </row>
    <row r="193" spans="16:22" ht="20" customHeight="1" x14ac:dyDescent="0.35">
      <c r="P193" s="70"/>
      <c r="Q193" s="71"/>
      <c r="R193" s="72" t="str">
        <f>IF(AND(NOT(ISBLANK(Q193)), Dashboard!$P189&gt;0), Q193/Dashboard!$P189, "")</f>
        <v/>
      </c>
      <c r="S193" s="306"/>
      <c r="T193" s="307"/>
      <c r="U193" s="307"/>
      <c r="V193" s="307"/>
    </row>
    <row r="194" spans="16:22" ht="20" customHeight="1" x14ac:dyDescent="0.35">
      <c r="P194" s="70"/>
      <c r="Q194" s="71"/>
      <c r="R194" s="72" t="str">
        <f>IF(AND(NOT(ISBLANK(Q194)), Dashboard!$P189&gt;0), Q194/Dashboard!$P189, "")</f>
        <v/>
      </c>
      <c r="S194" s="306"/>
      <c r="T194" s="307"/>
      <c r="U194" s="307"/>
      <c r="V194" s="307"/>
    </row>
    <row r="195" spans="16:22" ht="20" customHeight="1" x14ac:dyDescent="0.35">
      <c r="P195" s="70"/>
      <c r="Q195" s="71"/>
      <c r="R195" s="72" t="str">
        <f>IF(AND(NOT(ISBLANK(Q195)), Dashboard!$P189&gt;0), Q195/Dashboard!$P189, "")</f>
        <v/>
      </c>
      <c r="S195" s="306"/>
      <c r="T195" s="307"/>
      <c r="U195" s="307"/>
      <c r="V195" s="307"/>
    </row>
    <row r="196" spans="16:22" ht="20" customHeight="1" x14ac:dyDescent="0.35">
      <c r="P196" s="70"/>
      <c r="Q196" s="71"/>
      <c r="R196" s="72" t="str">
        <f>IF(AND(NOT(ISBLANK(Q196)), Dashboard!$P189&gt;0), Q196/Dashboard!$P189, "")</f>
        <v/>
      </c>
      <c r="S196" s="306"/>
      <c r="T196" s="307"/>
      <c r="U196" s="307"/>
      <c r="V196" s="307"/>
    </row>
    <row r="197" spans="16:22" ht="20" customHeight="1" x14ac:dyDescent="0.35">
      <c r="P197" s="70"/>
      <c r="Q197" s="71"/>
      <c r="R197" s="72" t="str">
        <f>IF(AND(NOT(ISBLANK(Q197)), Dashboard!$P189&gt;0), Q197/Dashboard!$P189, "")</f>
        <v/>
      </c>
      <c r="S197" s="306"/>
      <c r="T197" s="307"/>
      <c r="U197" s="307"/>
      <c r="V197" s="307"/>
    </row>
    <row r="198" spans="16:22" ht="20" customHeight="1" x14ac:dyDescent="0.35">
      <c r="P198" s="70"/>
      <c r="Q198" s="71"/>
      <c r="R198" s="72" t="str">
        <f>IF(AND(NOT(ISBLANK(Q198)), Dashboard!$P189&gt;0), Q198/Dashboard!$P189, "")</f>
        <v/>
      </c>
      <c r="S198" s="306"/>
      <c r="T198" s="307"/>
      <c r="U198" s="307"/>
      <c r="V198" s="307"/>
    </row>
    <row r="199" spans="16:22" ht="20" customHeight="1" x14ac:dyDescent="0.35">
      <c r="P199" s="70"/>
      <c r="Q199" s="71"/>
      <c r="R199" s="72" t="str">
        <f>IF(AND(NOT(ISBLANK(Q199)), Dashboard!$P189&gt;0), Q199/Dashboard!$P189, "")</f>
        <v/>
      </c>
      <c r="S199" s="306"/>
      <c r="T199" s="307"/>
      <c r="U199" s="307"/>
      <c r="V199" s="307"/>
    </row>
    <row r="200" spans="16:22" ht="20" customHeight="1" x14ac:dyDescent="0.35">
      <c r="P200" s="70"/>
      <c r="Q200" s="71"/>
      <c r="R200" s="72" t="str">
        <f>IF(AND(NOT(ISBLANK(Q200)), Dashboard!$P189&gt;0), Q200/Dashboard!$P189, "")</f>
        <v/>
      </c>
      <c r="S200" s="306"/>
      <c r="T200" s="307"/>
      <c r="U200" s="307"/>
      <c r="V200" s="307"/>
    </row>
    <row r="201" spans="16:22" ht="20" customHeight="1" x14ac:dyDescent="0.35">
      <c r="P201" s="70"/>
      <c r="Q201" s="71"/>
      <c r="R201" s="72" t="str">
        <f>IF(AND(NOT(ISBLANK(Q201)), Dashboard!$P189&gt;0), Q201/Dashboard!$P189, "")</f>
        <v/>
      </c>
      <c r="S201" s="306"/>
      <c r="T201" s="307"/>
      <c r="U201" s="307"/>
      <c r="V201" s="307"/>
    </row>
    <row r="202" spans="16:22" ht="20" customHeight="1" x14ac:dyDescent="0.35">
      <c r="P202" s="70"/>
      <c r="Q202" s="71"/>
      <c r="R202" s="72" t="str">
        <f>IF(AND(NOT(ISBLANK(Q202)), Dashboard!$P189&gt;0), Q202/Dashboard!$P189, "")</f>
        <v/>
      </c>
      <c r="S202" s="306"/>
      <c r="T202" s="307"/>
      <c r="U202" s="307"/>
      <c r="V202" s="307"/>
    </row>
    <row r="203" spans="16:22" ht="20" customHeight="1" x14ac:dyDescent="0.35">
      <c r="P203" s="70"/>
      <c r="Q203" s="71"/>
      <c r="R203" s="72" t="str">
        <f>IF(AND(NOT(ISBLANK(Q203)), Dashboard!$P189&gt;0), Q203/Dashboard!$P189, "")</f>
        <v/>
      </c>
      <c r="S203" s="306"/>
      <c r="T203" s="307"/>
      <c r="U203" s="307"/>
      <c r="V203" s="307"/>
    </row>
    <row r="204" spans="16:22" ht="20" customHeight="1" x14ac:dyDescent="0.35">
      <c r="P204" s="70"/>
      <c r="Q204" s="71"/>
      <c r="R204" s="72" t="str">
        <f>IF(AND(NOT(ISBLANK(Q204)), Dashboard!$P189&gt;0), Q204/Dashboard!$P189, "")</f>
        <v/>
      </c>
      <c r="S204" s="306"/>
      <c r="T204" s="307"/>
      <c r="U204" s="307"/>
      <c r="V204" s="307"/>
    </row>
    <row r="205" spans="16:22" ht="20" customHeight="1" x14ac:dyDescent="0.35">
      <c r="P205" s="70"/>
      <c r="Q205" s="71"/>
      <c r="R205" s="72" t="str">
        <f>IF(AND(NOT(ISBLANK(Q205)), Dashboard!$P189&gt;0), Q205/Dashboard!$P189, "")</f>
        <v/>
      </c>
      <c r="S205" s="306"/>
      <c r="T205" s="307"/>
      <c r="U205" s="307"/>
      <c r="V205" s="307"/>
    </row>
    <row r="206" spans="16:22" ht="20" customHeight="1" x14ac:dyDescent="0.35">
      <c r="P206" s="70"/>
      <c r="Q206" s="71"/>
      <c r="R206" s="72" t="str">
        <f>IF(AND(NOT(ISBLANK(Q206)), Dashboard!$P189&gt;0), Q206/Dashboard!$P189, "")</f>
        <v/>
      </c>
      <c r="S206" s="306"/>
      <c r="T206" s="307"/>
      <c r="U206" s="307"/>
      <c r="V206" s="307"/>
    </row>
    <row r="207" spans="16:22" ht="20" customHeight="1" x14ac:dyDescent="0.35">
      <c r="P207" s="70"/>
      <c r="Q207" s="71"/>
      <c r="R207" s="72" t="str">
        <f>IF(AND(NOT(ISBLANK(Q207)), Dashboard!$P189&gt;0), Q207/Dashboard!$P189, "")</f>
        <v/>
      </c>
      <c r="S207" s="306"/>
      <c r="T207" s="307"/>
      <c r="U207" s="307"/>
      <c r="V207" s="307"/>
    </row>
    <row r="208" spans="16:22" ht="20" customHeight="1" x14ac:dyDescent="0.35">
      <c r="P208" s="70"/>
      <c r="Q208" s="71"/>
      <c r="R208" s="72" t="str">
        <f>IF(AND(NOT(ISBLANK(Q208)), Dashboard!$P189&gt;0), Q208/Dashboard!$P189, "")</f>
        <v/>
      </c>
      <c r="S208" s="306"/>
      <c r="T208" s="307"/>
      <c r="U208" s="307"/>
      <c r="V208" s="307"/>
    </row>
    <row r="209" spans="2:22" ht="20" customHeight="1" x14ac:dyDescent="0.35">
      <c r="P209" s="70"/>
      <c r="Q209" s="71"/>
      <c r="R209" s="72" t="str">
        <f>IF(AND(NOT(ISBLANK(Q209)), Dashboard!$P189&gt;0), Q209/Dashboard!$P189, "")</f>
        <v/>
      </c>
      <c r="S209" s="306"/>
      <c r="T209" s="307"/>
      <c r="U209" s="307"/>
      <c r="V209" s="307"/>
    </row>
    <row r="210" spans="2:22" ht="20" customHeight="1" x14ac:dyDescent="0.35">
      <c r="P210" s="70"/>
      <c r="Q210" s="71"/>
      <c r="R210" s="72" t="str">
        <f>IF(AND(NOT(ISBLANK(Q210)), Dashboard!$P189&gt;0), Q210/Dashboard!$P189, "")</f>
        <v/>
      </c>
      <c r="S210" s="306"/>
      <c r="T210" s="307"/>
      <c r="U210" s="307"/>
      <c r="V210" s="307"/>
    </row>
    <row r="211" spans="2:22" ht="20" customHeight="1" x14ac:dyDescent="0.35">
      <c r="P211" s="70"/>
      <c r="Q211" s="71"/>
      <c r="R211" s="72" t="str">
        <f>IF(AND(NOT(ISBLANK(Q211)), Dashboard!$P189&gt;0), Q211/Dashboard!$P189, "")</f>
        <v/>
      </c>
      <c r="S211" s="306"/>
      <c r="T211" s="307"/>
      <c r="U211" s="307"/>
      <c r="V211" s="307"/>
    </row>
    <row r="212" spans="2:22" ht="20" customHeight="1" x14ac:dyDescent="0.35">
      <c r="P212" s="70"/>
      <c r="Q212" s="71"/>
      <c r="R212" s="72" t="str">
        <f>IF(AND(NOT(ISBLANK(Q212)), Dashboard!$P189&gt;0), Q212/Dashboard!$P189, "")</f>
        <v/>
      </c>
      <c r="S212" s="306"/>
      <c r="T212" s="307"/>
      <c r="U212" s="307"/>
      <c r="V212" s="307"/>
    </row>
    <row r="216" spans="2:22" ht="32" customHeight="1" x14ac:dyDescent="0.35">
      <c r="B216" s="291" t="s">
        <v>351</v>
      </c>
      <c r="C216" s="291"/>
      <c r="D216" s="291"/>
      <c r="E216" s="291"/>
      <c r="F216" s="291"/>
      <c r="G216" s="291"/>
      <c r="H216" s="291"/>
      <c r="I216" s="291"/>
    </row>
  </sheetData>
  <mergeCells count="55">
    <mergeCell ref="B216:I216"/>
    <mergeCell ref="S208:V208"/>
    <mergeCell ref="S209:V209"/>
    <mergeCell ref="S210:V210"/>
    <mergeCell ref="S211:V211"/>
    <mergeCell ref="S212:V212"/>
    <mergeCell ref="S203:V203"/>
    <mergeCell ref="S204:V204"/>
    <mergeCell ref="S205:V205"/>
    <mergeCell ref="S206:V206"/>
    <mergeCell ref="S207:V207"/>
    <mergeCell ref="S198:V198"/>
    <mergeCell ref="S199:V199"/>
    <mergeCell ref="S200:V200"/>
    <mergeCell ref="S201:V201"/>
    <mergeCell ref="S202:V202"/>
    <mergeCell ref="S193:V193"/>
    <mergeCell ref="S194:V194"/>
    <mergeCell ref="S195:V195"/>
    <mergeCell ref="S196:V196"/>
    <mergeCell ref="S197:V197"/>
    <mergeCell ref="P188:Q188"/>
    <mergeCell ref="R188:T188"/>
    <mergeCell ref="P189:Q189"/>
    <mergeCell ref="R189:T189"/>
    <mergeCell ref="S192:V192"/>
    <mergeCell ref="C137:D137"/>
    <mergeCell ref="G137:H137"/>
    <mergeCell ref="B146:F146"/>
    <mergeCell ref="P146:W146"/>
    <mergeCell ref="B187:F187"/>
    <mergeCell ref="P187:U187"/>
    <mergeCell ref="C134:D134"/>
    <mergeCell ref="G134:H134"/>
    <mergeCell ref="C135:D135"/>
    <mergeCell ref="G135:H135"/>
    <mergeCell ref="C136:D136"/>
    <mergeCell ref="G136:H136"/>
    <mergeCell ref="C131:D131"/>
    <mergeCell ref="G131:H131"/>
    <mergeCell ref="C132:D132"/>
    <mergeCell ref="G132:H132"/>
    <mergeCell ref="C133:D133"/>
    <mergeCell ref="G133:H13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32:H137">
    <cfRule type="expression" dxfId="80" priority="4">
      <formula>$G132&gt;=0.8</formula>
    </cfRule>
    <cfRule type="expression" dxfId="79" priority="5">
      <formula>AND($G132&gt;=0.5,$G132&lt;0.8)</formula>
    </cfRule>
    <cfRule type="expression" dxfId="78" priority="6">
      <formula>$G132&lt;0.5</formula>
    </cfRule>
  </conditionalFormatting>
  <conditionalFormatting sqref="K132:K137">
    <cfRule type="cellIs" dxfId="77" priority="7" operator="greaterThan">
      <formula>0</formula>
    </cfRule>
  </conditionalFormatting>
  <conditionalFormatting sqref="L132:L137">
    <cfRule type="cellIs" dxfId="76" priority="8" operator="greaterThan">
      <formula>0</formula>
    </cfRule>
  </conditionalFormatting>
  <conditionalFormatting sqref="M132:M137">
    <cfRule type="cellIs" dxfId="75" priority="9" operator="greaterThan">
      <formula>0</formula>
    </cfRule>
  </conditionalFormatting>
  <conditionalFormatting sqref="N132:N13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51" xr:uid="{00000000-0002-0000-0100-000000000000}">
      <formula1>0</formula1>
      <formula2>C16</formula2>
    </dataValidation>
    <dataValidation type="whole" allowBlank="1" showErrorMessage="1" errorTitle="Invalid count" error="Value must be between 0 and the current implemented total." sqref="S151" xr:uid="{00000000-0002-0000-0100-000001000000}">
      <formula1>0</formula1>
      <formula2>C94</formula2>
    </dataValidation>
    <dataValidation type="whole" allowBlank="1" showErrorMessage="1" errorTitle="Invalid count" error="Value must be between 0 and the current implemented total." sqref="U151" xr:uid="{00000000-0002-0000-0100-000002000000}">
      <formula1>0</formula1>
      <formula2>C95</formula2>
    </dataValidation>
    <dataValidation type="whole" allowBlank="1" showErrorMessage="1" errorTitle="Invalid count" error="Value must be between 0 and the current implemented total." sqref="W151" xr:uid="{00000000-0002-0000-0100-000003000000}">
      <formula1>0</formula1>
      <formula2>C96</formula2>
    </dataValidation>
    <dataValidation type="whole" allowBlank="1" showErrorMessage="1" errorTitle="Invalid overall count" error="Overall count must be between 0 and the current implemented total." sqref="Q152" xr:uid="{00000000-0002-0000-0100-000004000000}">
      <formula1>0</formula1>
      <formula2>C16</formula2>
    </dataValidation>
    <dataValidation type="whole" allowBlank="1" showErrorMessage="1" errorTitle="Invalid count" error="Value must be between 0 and the current implemented total." sqref="S152" xr:uid="{00000000-0002-0000-0100-000005000000}">
      <formula1>0</formula1>
      <formula2>C94</formula2>
    </dataValidation>
    <dataValidation type="whole" allowBlank="1" showErrorMessage="1" errorTitle="Invalid count" error="Value must be between 0 and the current implemented total." sqref="U152" xr:uid="{00000000-0002-0000-0100-000006000000}">
      <formula1>0</formula1>
      <formula2>C95</formula2>
    </dataValidation>
    <dataValidation type="whole" allowBlank="1" showErrorMessage="1" errorTitle="Invalid count" error="Value must be between 0 and the current implemented total." sqref="W152" xr:uid="{00000000-0002-0000-0100-000007000000}">
      <formula1>0</formula1>
      <formula2>C96</formula2>
    </dataValidation>
    <dataValidation type="whole" allowBlank="1" showErrorMessage="1" errorTitle="Invalid overall count" error="Overall count must be between 0 and the current implemented total." sqref="Q153" xr:uid="{00000000-0002-0000-0100-000008000000}">
      <formula1>0</formula1>
      <formula2>C16</formula2>
    </dataValidation>
    <dataValidation type="whole" allowBlank="1" showErrorMessage="1" errorTitle="Invalid count" error="Value must be between 0 and the current implemented total." sqref="S153" xr:uid="{00000000-0002-0000-0100-000009000000}">
      <formula1>0</formula1>
      <formula2>C94</formula2>
    </dataValidation>
    <dataValidation type="whole" allowBlank="1" showErrorMessage="1" errorTitle="Invalid count" error="Value must be between 0 and the current implemented total." sqref="U153" xr:uid="{00000000-0002-0000-0100-00000A000000}">
      <formula1>0</formula1>
      <formula2>C95</formula2>
    </dataValidation>
    <dataValidation type="whole" allowBlank="1" showErrorMessage="1" errorTitle="Invalid count" error="Value must be between 0 and the current implemented total." sqref="W153" xr:uid="{00000000-0002-0000-0100-00000B000000}">
      <formula1>0</formula1>
      <formula2>C96</formula2>
    </dataValidation>
    <dataValidation type="whole" allowBlank="1" showErrorMessage="1" errorTitle="Invalid overall count" error="Overall count must be between 0 and the current implemented total." sqref="Q154" xr:uid="{00000000-0002-0000-0100-00000C000000}">
      <formula1>0</formula1>
      <formula2>C16</formula2>
    </dataValidation>
    <dataValidation type="whole" allowBlank="1" showErrorMessage="1" errorTitle="Invalid count" error="Value must be between 0 and the current implemented total." sqref="S154" xr:uid="{00000000-0002-0000-0100-00000D000000}">
      <formula1>0</formula1>
      <formula2>C94</formula2>
    </dataValidation>
    <dataValidation type="whole" allowBlank="1" showErrorMessage="1" errorTitle="Invalid count" error="Value must be between 0 and the current implemented total." sqref="U154" xr:uid="{00000000-0002-0000-0100-00000E000000}">
      <formula1>0</formula1>
      <formula2>C95</formula2>
    </dataValidation>
    <dataValidation type="whole" allowBlank="1" showErrorMessage="1" errorTitle="Invalid count" error="Value must be between 0 and the current implemented total." sqref="W154" xr:uid="{00000000-0002-0000-0100-00000F000000}">
      <formula1>0</formula1>
      <formula2>C96</formula2>
    </dataValidation>
    <dataValidation type="whole" allowBlank="1" showErrorMessage="1" errorTitle="Invalid overall count" error="Overall count must be between 0 and the current implemented total." sqref="Q155" xr:uid="{00000000-0002-0000-0100-000010000000}">
      <formula1>0</formula1>
      <formula2>C16</formula2>
    </dataValidation>
    <dataValidation type="whole" allowBlank="1" showErrorMessage="1" errorTitle="Invalid count" error="Value must be between 0 and the current implemented total." sqref="S155" xr:uid="{00000000-0002-0000-0100-000011000000}">
      <formula1>0</formula1>
      <formula2>C94</formula2>
    </dataValidation>
    <dataValidation type="whole" allowBlank="1" showErrorMessage="1" errorTitle="Invalid count" error="Value must be between 0 and the current implemented total." sqref="U155" xr:uid="{00000000-0002-0000-0100-000012000000}">
      <formula1>0</formula1>
      <formula2>C95</formula2>
    </dataValidation>
    <dataValidation type="whole" allowBlank="1" showErrorMessage="1" errorTitle="Invalid count" error="Value must be between 0 and the current implemented total." sqref="W155" xr:uid="{00000000-0002-0000-0100-000013000000}">
      <formula1>0</formula1>
      <formula2>C96</formula2>
    </dataValidation>
    <dataValidation type="whole" allowBlank="1" showErrorMessage="1" errorTitle="Invalid overall count" error="Overall count must be between 0 and the current implemented total." sqref="Q156" xr:uid="{00000000-0002-0000-0100-000014000000}">
      <formula1>0</formula1>
      <formula2>C16</formula2>
    </dataValidation>
    <dataValidation type="whole" allowBlank="1" showErrorMessage="1" errorTitle="Invalid count" error="Value must be between 0 and the current implemented total." sqref="S156" xr:uid="{00000000-0002-0000-0100-000015000000}">
      <formula1>0</formula1>
      <formula2>C94</formula2>
    </dataValidation>
    <dataValidation type="whole" allowBlank="1" showErrorMessage="1" errorTitle="Invalid count" error="Value must be between 0 and the current implemented total." sqref="U156" xr:uid="{00000000-0002-0000-0100-000016000000}">
      <formula1>0</formula1>
      <formula2>C95</formula2>
    </dataValidation>
    <dataValidation type="whole" allowBlank="1" showErrorMessage="1" errorTitle="Invalid count" error="Value must be between 0 and the current implemented total." sqref="W156" xr:uid="{00000000-0002-0000-0100-000017000000}">
      <formula1>0</formula1>
      <formula2>C96</formula2>
    </dataValidation>
    <dataValidation type="whole" allowBlank="1" showErrorMessage="1" errorTitle="Invalid overall count" error="Overall count must be between 0 and the current implemented total." sqref="Q157" xr:uid="{00000000-0002-0000-0100-000018000000}">
      <formula1>0</formula1>
      <formula2>C16</formula2>
    </dataValidation>
    <dataValidation type="whole" allowBlank="1" showErrorMessage="1" errorTitle="Invalid count" error="Value must be between 0 and the current implemented total." sqref="S157" xr:uid="{00000000-0002-0000-0100-000019000000}">
      <formula1>0</formula1>
      <formula2>C94</formula2>
    </dataValidation>
    <dataValidation type="whole" allowBlank="1" showErrorMessage="1" errorTitle="Invalid count" error="Value must be between 0 and the current implemented total." sqref="U157" xr:uid="{00000000-0002-0000-0100-00001A000000}">
      <formula1>0</formula1>
      <formula2>C95</formula2>
    </dataValidation>
    <dataValidation type="whole" allowBlank="1" showErrorMessage="1" errorTitle="Invalid count" error="Value must be between 0 and the current implemented total." sqref="W157" xr:uid="{00000000-0002-0000-0100-00001B000000}">
      <formula1>0</formula1>
      <formula2>C96</formula2>
    </dataValidation>
    <dataValidation type="whole" allowBlank="1" showErrorMessage="1" errorTitle="Invalid overall count" error="Overall count must be between 0 and the current implemented total." sqref="Q158" xr:uid="{00000000-0002-0000-0100-00001C000000}">
      <formula1>0</formula1>
      <formula2>C16</formula2>
    </dataValidation>
    <dataValidation type="whole" allowBlank="1" showErrorMessage="1" errorTitle="Invalid count" error="Value must be between 0 and the current implemented total." sqref="S158" xr:uid="{00000000-0002-0000-0100-00001D000000}">
      <formula1>0</formula1>
      <formula2>C94</formula2>
    </dataValidation>
    <dataValidation type="whole" allowBlank="1" showErrorMessage="1" errorTitle="Invalid count" error="Value must be between 0 and the current implemented total." sqref="U158" xr:uid="{00000000-0002-0000-0100-00001E000000}">
      <formula1>0</formula1>
      <formula2>C95</formula2>
    </dataValidation>
    <dataValidation type="whole" allowBlank="1" showErrorMessage="1" errorTitle="Invalid count" error="Value must be between 0 and the current implemented total." sqref="W158" xr:uid="{00000000-0002-0000-0100-00001F000000}">
      <formula1>0</formula1>
      <formula2>C96</formula2>
    </dataValidation>
    <dataValidation type="whole" allowBlank="1" showErrorMessage="1" errorTitle="Invalid overall count" error="Overall count must be between 0 and the current implemented total." sqref="Q159" xr:uid="{00000000-0002-0000-0100-000020000000}">
      <formula1>0</formula1>
      <formula2>C16</formula2>
    </dataValidation>
    <dataValidation type="whole" allowBlank="1" showErrorMessage="1" errorTitle="Invalid count" error="Value must be between 0 and the current implemented total." sqref="S159" xr:uid="{00000000-0002-0000-0100-000021000000}">
      <formula1>0</formula1>
      <formula2>C94</formula2>
    </dataValidation>
    <dataValidation type="whole" allowBlank="1" showErrorMessage="1" errorTitle="Invalid count" error="Value must be between 0 and the current implemented total." sqref="U159" xr:uid="{00000000-0002-0000-0100-000022000000}">
      <formula1>0</formula1>
      <formula2>C95</formula2>
    </dataValidation>
    <dataValidation type="whole" allowBlank="1" showErrorMessage="1" errorTitle="Invalid count" error="Value must be between 0 and the current implemented total." sqref="W159" xr:uid="{00000000-0002-0000-0100-000023000000}">
      <formula1>0</formula1>
      <formula2>C96</formula2>
    </dataValidation>
    <dataValidation type="whole" allowBlank="1" showErrorMessage="1" errorTitle="Invalid overall count" error="Overall count must be between 0 and the current implemented total." sqref="Q160" xr:uid="{00000000-0002-0000-0100-000024000000}">
      <formula1>0</formula1>
      <formula2>C16</formula2>
    </dataValidation>
    <dataValidation type="whole" allowBlank="1" showErrorMessage="1" errorTitle="Invalid count" error="Value must be between 0 and the current implemented total." sqref="S160" xr:uid="{00000000-0002-0000-0100-000025000000}">
      <formula1>0</formula1>
      <formula2>C94</formula2>
    </dataValidation>
    <dataValidation type="whole" allowBlank="1" showErrorMessage="1" errorTitle="Invalid count" error="Value must be between 0 and the current implemented total." sqref="U160" xr:uid="{00000000-0002-0000-0100-000026000000}">
      <formula1>0</formula1>
      <formula2>C95</formula2>
    </dataValidation>
    <dataValidation type="whole" allowBlank="1" showErrorMessage="1" errorTitle="Invalid count" error="Value must be between 0 and the current implemented total." sqref="W160" xr:uid="{00000000-0002-0000-0100-000027000000}">
      <formula1>0</formula1>
      <formula2>C96</formula2>
    </dataValidation>
    <dataValidation type="whole" allowBlank="1" showErrorMessage="1" errorTitle="Invalid overall count" error="Overall count must be between 0 and the current implemented total." sqref="Q161" xr:uid="{00000000-0002-0000-0100-000028000000}">
      <formula1>0</formula1>
      <formula2>C16</formula2>
    </dataValidation>
    <dataValidation type="whole" allowBlank="1" showErrorMessage="1" errorTitle="Invalid count" error="Value must be between 0 and the current implemented total." sqref="S161" xr:uid="{00000000-0002-0000-0100-000029000000}">
      <formula1>0</formula1>
      <formula2>C94</formula2>
    </dataValidation>
    <dataValidation type="whole" allowBlank="1" showErrorMessage="1" errorTitle="Invalid count" error="Value must be between 0 and the current implemented total." sqref="U161" xr:uid="{00000000-0002-0000-0100-00002A000000}">
      <formula1>0</formula1>
      <formula2>C95</formula2>
    </dataValidation>
    <dataValidation type="whole" allowBlank="1" showErrorMessage="1" errorTitle="Invalid count" error="Value must be between 0 and the current implemented total." sqref="W161" xr:uid="{00000000-0002-0000-0100-00002B000000}">
      <formula1>0</formula1>
      <formula2>C96</formula2>
    </dataValidation>
    <dataValidation type="whole" allowBlank="1" showErrorMessage="1" errorTitle="Invalid overall count" error="Overall count must be between 0 and the current implemented total." sqref="Q162" xr:uid="{00000000-0002-0000-0100-00002C000000}">
      <formula1>0</formula1>
      <formula2>C16</formula2>
    </dataValidation>
    <dataValidation type="whole" allowBlank="1" showErrorMessage="1" errorTitle="Invalid count" error="Value must be between 0 and the current implemented total." sqref="S162" xr:uid="{00000000-0002-0000-0100-00002D000000}">
      <formula1>0</formula1>
      <formula2>C94</formula2>
    </dataValidation>
    <dataValidation type="whole" allowBlank="1" showErrorMessage="1" errorTitle="Invalid count" error="Value must be between 0 and the current implemented total." sqref="U162" xr:uid="{00000000-0002-0000-0100-00002E000000}">
      <formula1>0</formula1>
      <formula2>C95</formula2>
    </dataValidation>
    <dataValidation type="whole" allowBlank="1" showErrorMessage="1" errorTitle="Invalid count" error="Value must be between 0 and the current implemented total." sqref="W162" xr:uid="{00000000-0002-0000-0100-00002F000000}">
      <formula1>0</formula1>
      <formula2>C96</formula2>
    </dataValidation>
    <dataValidation type="whole" allowBlank="1" showErrorMessage="1" errorTitle="Invalid overall count" error="Overall count must be between 0 and the current implemented total." sqref="Q163" xr:uid="{00000000-0002-0000-0100-000030000000}">
      <formula1>0</formula1>
      <formula2>C16</formula2>
    </dataValidation>
    <dataValidation type="whole" allowBlank="1" showErrorMessage="1" errorTitle="Invalid count" error="Value must be between 0 and the current implemented total." sqref="S163" xr:uid="{00000000-0002-0000-0100-000031000000}">
      <formula1>0</formula1>
      <formula2>C94</formula2>
    </dataValidation>
    <dataValidation type="whole" allowBlank="1" showErrorMessage="1" errorTitle="Invalid count" error="Value must be between 0 and the current implemented total." sqref="U163" xr:uid="{00000000-0002-0000-0100-000032000000}">
      <formula1>0</formula1>
      <formula2>C95</formula2>
    </dataValidation>
    <dataValidation type="whole" allowBlank="1" showErrorMessage="1" errorTitle="Invalid count" error="Value must be between 0 and the current implemented total." sqref="W163" xr:uid="{00000000-0002-0000-0100-000033000000}">
      <formula1>0</formula1>
      <formula2>C96</formula2>
    </dataValidation>
    <dataValidation type="whole" allowBlank="1" showErrorMessage="1" errorTitle="Invalid overall count" error="Overall count must be between 0 and the current implemented total." sqref="Q164" xr:uid="{00000000-0002-0000-0100-000034000000}">
      <formula1>0</formula1>
      <formula2>C16</formula2>
    </dataValidation>
    <dataValidation type="whole" allowBlank="1" showErrorMessage="1" errorTitle="Invalid count" error="Value must be between 0 and the current implemented total." sqref="S164" xr:uid="{00000000-0002-0000-0100-000035000000}">
      <formula1>0</formula1>
      <formula2>C94</formula2>
    </dataValidation>
    <dataValidation type="whole" allowBlank="1" showErrorMessage="1" errorTitle="Invalid count" error="Value must be between 0 and the current implemented total." sqref="U164" xr:uid="{00000000-0002-0000-0100-000036000000}">
      <formula1>0</formula1>
      <formula2>C95</formula2>
    </dataValidation>
    <dataValidation type="whole" allowBlank="1" showErrorMessage="1" errorTitle="Invalid count" error="Value must be between 0 and the current implemented total." sqref="W164" xr:uid="{00000000-0002-0000-0100-000037000000}">
      <formula1>0</formula1>
      <formula2>C96</formula2>
    </dataValidation>
    <dataValidation type="whole" allowBlank="1" showErrorMessage="1" errorTitle="Invalid overall count" error="Overall count must be between 0 and the current implemented total." sqref="Q165" xr:uid="{00000000-0002-0000-0100-000038000000}">
      <formula1>0</formula1>
      <formula2>C16</formula2>
    </dataValidation>
    <dataValidation type="whole" allowBlank="1" showErrorMessage="1" errorTitle="Invalid count" error="Value must be between 0 and the current implemented total." sqref="S165" xr:uid="{00000000-0002-0000-0100-000039000000}">
      <formula1>0</formula1>
      <formula2>C94</formula2>
    </dataValidation>
    <dataValidation type="whole" allowBlank="1" showErrorMessage="1" errorTitle="Invalid count" error="Value must be between 0 and the current implemented total." sqref="U165" xr:uid="{00000000-0002-0000-0100-00003A000000}">
      <formula1>0</formula1>
      <formula2>C95</formula2>
    </dataValidation>
    <dataValidation type="whole" allowBlank="1" showErrorMessage="1" errorTitle="Invalid count" error="Value must be between 0 and the current implemented total." sqref="W165" xr:uid="{00000000-0002-0000-0100-00003B000000}">
      <formula1>0</formula1>
      <formula2>C96</formula2>
    </dataValidation>
    <dataValidation type="whole" allowBlank="1" showErrorMessage="1" errorTitle="Invalid overall count" error="Overall count must be between 0 and the current implemented total." sqref="Q166" xr:uid="{00000000-0002-0000-0100-00003C000000}">
      <formula1>0</formula1>
      <formula2>C16</formula2>
    </dataValidation>
    <dataValidation type="whole" allowBlank="1" showErrorMessage="1" errorTitle="Invalid count" error="Value must be between 0 and the current implemented total." sqref="S166" xr:uid="{00000000-0002-0000-0100-00003D000000}">
      <formula1>0</formula1>
      <formula2>C94</formula2>
    </dataValidation>
    <dataValidation type="whole" allowBlank="1" showErrorMessage="1" errorTitle="Invalid count" error="Value must be between 0 and the current implemented total." sqref="U166" xr:uid="{00000000-0002-0000-0100-00003E000000}">
      <formula1>0</formula1>
      <formula2>C95</formula2>
    </dataValidation>
    <dataValidation type="whole" allowBlank="1" showErrorMessage="1" errorTitle="Invalid count" error="Value must be between 0 and the current implemented total." sqref="W166" xr:uid="{00000000-0002-0000-0100-00003F000000}">
      <formula1>0</formula1>
      <formula2>C96</formula2>
    </dataValidation>
    <dataValidation type="whole" allowBlank="1" showErrorMessage="1" errorTitle="Invalid overall count" error="Overall count must be between 0 and the current implemented total." sqref="Q167" xr:uid="{00000000-0002-0000-0100-000040000000}">
      <formula1>0</formula1>
      <formula2>C16</formula2>
    </dataValidation>
    <dataValidation type="whole" allowBlank="1" showErrorMessage="1" errorTitle="Invalid count" error="Value must be between 0 and the current implemented total." sqref="S167" xr:uid="{00000000-0002-0000-0100-000041000000}">
      <formula1>0</formula1>
      <formula2>C94</formula2>
    </dataValidation>
    <dataValidation type="whole" allowBlank="1" showErrorMessage="1" errorTitle="Invalid count" error="Value must be between 0 and the current implemented total." sqref="U167" xr:uid="{00000000-0002-0000-0100-000042000000}">
      <formula1>0</formula1>
      <formula2>C95</formula2>
    </dataValidation>
    <dataValidation type="whole" allowBlank="1" showErrorMessage="1" errorTitle="Invalid count" error="Value must be between 0 and the current implemented total." sqref="W167" xr:uid="{00000000-0002-0000-0100-000043000000}">
      <formula1>0</formula1>
      <formula2>C96</formula2>
    </dataValidation>
    <dataValidation type="whole" allowBlank="1" showErrorMessage="1" errorTitle="Invalid overall count" error="Overall count must be between 0 and the current implemented total." sqref="Q168" xr:uid="{00000000-0002-0000-0100-000044000000}">
      <formula1>0</formula1>
      <formula2>C16</formula2>
    </dataValidation>
    <dataValidation type="whole" allowBlank="1" showErrorMessage="1" errorTitle="Invalid count" error="Value must be between 0 and the current implemented total." sqref="S168" xr:uid="{00000000-0002-0000-0100-000045000000}">
      <formula1>0</formula1>
      <formula2>C94</formula2>
    </dataValidation>
    <dataValidation type="whole" allowBlank="1" showErrorMessage="1" errorTitle="Invalid count" error="Value must be between 0 and the current implemented total." sqref="U168" xr:uid="{00000000-0002-0000-0100-000046000000}">
      <formula1>0</formula1>
      <formula2>C95</formula2>
    </dataValidation>
    <dataValidation type="whole" allowBlank="1" showErrorMessage="1" errorTitle="Invalid count" error="Value must be between 0 and the current implemented total." sqref="W168" xr:uid="{00000000-0002-0000-0100-000047000000}">
      <formula1>0</formula1>
      <formula2>C96</formula2>
    </dataValidation>
    <dataValidation type="whole" allowBlank="1" showErrorMessage="1" errorTitle="Invalid overall count" error="Overall count must be between 0 and the current implemented total." sqref="Q169" xr:uid="{00000000-0002-0000-0100-000048000000}">
      <formula1>0</formula1>
      <formula2>C16</formula2>
    </dataValidation>
    <dataValidation type="whole" allowBlank="1" showErrorMessage="1" errorTitle="Invalid count" error="Value must be between 0 and the current implemented total." sqref="S169" xr:uid="{00000000-0002-0000-0100-000049000000}">
      <formula1>0</formula1>
      <formula2>C94</formula2>
    </dataValidation>
    <dataValidation type="whole" allowBlank="1" showErrorMessage="1" errorTitle="Invalid count" error="Value must be between 0 and the current implemented total." sqref="U169" xr:uid="{00000000-0002-0000-0100-00004A000000}">
      <formula1>0</formula1>
      <formula2>C95</formula2>
    </dataValidation>
    <dataValidation type="whole" allowBlank="1" showErrorMessage="1" errorTitle="Invalid count" error="Value must be between 0 and the current implemented total." sqref="W169" xr:uid="{00000000-0002-0000-0100-00004B000000}">
      <formula1>0</formula1>
      <formula2>C96</formula2>
    </dataValidation>
    <dataValidation type="whole" allowBlank="1" showErrorMessage="1" errorTitle="Invalid overall count" error="Overall count must be between 0 and the current implemented total." sqref="Q170" xr:uid="{00000000-0002-0000-0100-00004C000000}">
      <formula1>0</formula1>
      <formula2>C16</formula2>
    </dataValidation>
    <dataValidation type="whole" allowBlank="1" showErrorMessage="1" errorTitle="Invalid count" error="Value must be between 0 and the current implemented total." sqref="S170" xr:uid="{00000000-0002-0000-0100-00004D000000}">
      <formula1>0</formula1>
      <formula2>C94</formula2>
    </dataValidation>
    <dataValidation type="whole" allowBlank="1" showErrorMessage="1" errorTitle="Invalid count" error="Value must be between 0 and the current implemented total." sqref="U170" xr:uid="{00000000-0002-0000-0100-00004E000000}">
      <formula1>0</formula1>
      <formula2>C95</formula2>
    </dataValidation>
    <dataValidation type="whole" allowBlank="1" showErrorMessage="1" errorTitle="Invalid count" error="Value must be between 0 and the current implemented total." sqref="W170" xr:uid="{00000000-0002-0000-0100-00004F000000}">
      <formula1>0</formula1>
      <formula2>C96</formula2>
    </dataValidation>
    <dataValidation type="whole" allowBlank="1" showErrorMessage="1" errorTitle="Invalid overall count" error="Overall count must be between 0 and the current implemented total." sqref="Q171" xr:uid="{00000000-0002-0000-0100-000050000000}">
      <formula1>0</formula1>
      <formula2>C16</formula2>
    </dataValidation>
    <dataValidation type="whole" allowBlank="1" showErrorMessage="1" errorTitle="Invalid count" error="Value must be between 0 and the current implemented total." sqref="S171" xr:uid="{00000000-0002-0000-0100-000051000000}">
      <formula1>0</formula1>
      <formula2>C94</formula2>
    </dataValidation>
    <dataValidation type="whole" allowBlank="1" showErrorMessage="1" errorTitle="Invalid count" error="Value must be between 0 and the current implemented total." sqref="U171" xr:uid="{00000000-0002-0000-0100-000052000000}">
      <formula1>0</formula1>
      <formula2>C95</formula2>
    </dataValidation>
    <dataValidation type="whole" allowBlank="1" showErrorMessage="1" errorTitle="Invalid count" error="Value must be between 0 and the current implemented total." sqref="W171" xr:uid="{00000000-0002-0000-0100-000053000000}">
      <formula1>0</formula1>
      <formula2>C96</formula2>
    </dataValidation>
    <dataValidation type="whole" allowBlank="1" showErrorMessage="1" errorTitle="Invalid overall count" error="Overall count must be between 0 and the current implemented total." sqref="Q172" xr:uid="{00000000-0002-0000-0100-000054000000}">
      <formula1>0</formula1>
      <formula2>C16</formula2>
    </dataValidation>
    <dataValidation type="whole" allowBlank="1" showErrorMessage="1" errorTitle="Invalid count" error="Value must be between 0 and the current implemented total." sqref="S172" xr:uid="{00000000-0002-0000-0100-000055000000}">
      <formula1>0</formula1>
      <formula2>C94</formula2>
    </dataValidation>
    <dataValidation type="whole" allowBlank="1" showErrorMessage="1" errorTitle="Invalid count" error="Value must be between 0 and the current implemented total." sqref="U172" xr:uid="{00000000-0002-0000-0100-000056000000}">
      <formula1>0</formula1>
      <formula2>C95</formula2>
    </dataValidation>
    <dataValidation type="whole" allowBlank="1" showErrorMessage="1" errorTitle="Invalid count" error="Value must be between 0 and the current implemented total." sqref="W172" xr:uid="{00000000-0002-0000-0100-000057000000}">
      <formula1>0</formula1>
      <formula2>C96</formula2>
    </dataValidation>
    <dataValidation type="whole" allowBlank="1" showErrorMessage="1" errorTitle="Invalid overall count" error="Overall count must be between 0 and the current implemented total." sqref="Q173" xr:uid="{00000000-0002-0000-0100-000058000000}">
      <formula1>0</formula1>
      <formula2>C16</formula2>
    </dataValidation>
    <dataValidation type="whole" allowBlank="1" showErrorMessage="1" errorTitle="Invalid count" error="Value must be between 0 and the current implemented total." sqref="S173" xr:uid="{00000000-0002-0000-0100-000059000000}">
      <formula1>0</formula1>
      <formula2>C94</formula2>
    </dataValidation>
    <dataValidation type="whole" allowBlank="1" showErrorMessage="1" errorTitle="Invalid count" error="Value must be between 0 and the current implemented total." sqref="U173" xr:uid="{00000000-0002-0000-0100-00005A000000}">
      <formula1>0</formula1>
      <formula2>C95</formula2>
    </dataValidation>
    <dataValidation type="whole" allowBlank="1" showErrorMessage="1" errorTitle="Invalid count" error="Value must be between 0 and the current implemented total." sqref="W173" xr:uid="{00000000-0002-0000-0100-00005B000000}">
      <formula1>0</formula1>
      <formula2>C96</formula2>
    </dataValidation>
    <dataValidation type="whole" allowBlank="1" showErrorMessage="1" errorTitle="Invalid overall count" error="Overall count must be between 0 and the current implemented total." sqref="Q174" xr:uid="{00000000-0002-0000-0100-00005C000000}">
      <formula1>0</formula1>
      <formula2>C16</formula2>
    </dataValidation>
    <dataValidation type="whole" allowBlank="1" showErrorMessage="1" errorTitle="Invalid count" error="Value must be between 0 and the current implemented total." sqref="S174" xr:uid="{00000000-0002-0000-0100-00005D000000}">
      <formula1>0</formula1>
      <formula2>C94</formula2>
    </dataValidation>
    <dataValidation type="whole" allowBlank="1" showErrorMessage="1" errorTitle="Invalid count" error="Value must be between 0 and the current implemented total." sqref="U174" xr:uid="{00000000-0002-0000-0100-00005E000000}">
      <formula1>0</formula1>
      <formula2>C95</formula2>
    </dataValidation>
    <dataValidation type="whole" allowBlank="1" showErrorMessage="1" errorTitle="Invalid count" error="Value must be between 0 and the current implemented total." sqref="W174" xr:uid="{00000000-0002-0000-0100-00005F000000}">
      <formula1>0</formula1>
      <formula2>C96</formula2>
    </dataValidation>
    <dataValidation type="whole" allowBlank="1" showErrorMessage="1" errorTitle="Invalid overall count" error="Overall count must be between 0 and the current implemented total." sqref="Q175" xr:uid="{00000000-0002-0000-0100-000060000000}">
      <formula1>0</formula1>
      <formula2>C16</formula2>
    </dataValidation>
    <dataValidation type="whole" allowBlank="1" showErrorMessage="1" errorTitle="Invalid count" error="Value must be between 0 and the current implemented total." sqref="S175" xr:uid="{00000000-0002-0000-0100-000061000000}">
      <formula1>0</formula1>
      <formula2>C94</formula2>
    </dataValidation>
    <dataValidation type="whole" allowBlank="1" showErrorMessage="1" errorTitle="Invalid count" error="Value must be between 0 and the current implemented total." sqref="U175" xr:uid="{00000000-0002-0000-0100-000062000000}">
      <formula1>0</formula1>
      <formula2>C95</formula2>
    </dataValidation>
    <dataValidation type="whole" allowBlank="1" showErrorMessage="1" errorTitle="Invalid count" error="Value must be between 0 and the current implemented total." sqref="W175" xr:uid="{00000000-0002-0000-0100-000063000000}">
      <formula1>0</formula1>
      <formula2>C96</formula2>
    </dataValidation>
    <dataValidation type="whole" allowBlank="1" showErrorMessage="1" errorTitle="Invalid overall count" error="Overall count must be between 0 and the current implemented total." sqref="Q176" xr:uid="{00000000-0002-0000-0100-000064000000}">
      <formula1>0</formula1>
      <formula2>C16</formula2>
    </dataValidation>
    <dataValidation type="whole" allowBlank="1" showErrorMessage="1" errorTitle="Invalid count" error="Value must be between 0 and the current implemented total." sqref="S176" xr:uid="{00000000-0002-0000-0100-000065000000}">
      <formula1>0</formula1>
      <formula2>C94</formula2>
    </dataValidation>
    <dataValidation type="whole" allowBlank="1" showErrorMessage="1" errorTitle="Invalid count" error="Value must be between 0 and the current implemented total." sqref="U176" xr:uid="{00000000-0002-0000-0100-000066000000}">
      <formula1>0</formula1>
      <formula2>C95</formula2>
    </dataValidation>
    <dataValidation type="whole" allowBlank="1" showErrorMessage="1" errorTitle="Invalid count" error="Value must be between 0 and the current implemented total." sqref="W176" xr:uid="{00000000-0002-0000-0100-000067000000}">
      <formula1>0</formula1>
      <formula2>C96</formula2>
    </dataValidation>
    <dataValidation type="whole" allowBlank="1" showErrorMessage="1" errorTitle="Invalid overall count" error="Overall count must be between 0 and the current implemented total." sqref="Q177" xr:uid="{00000000-0002-0000-0100-000068000000}">
      <formula1>0</formula1>
      <formula2>C16</formula2>
    </dataValidation>
    <dataValidation type="whole" allowBlank="1" showErrorMessage="1" errorTitle="Invalid count" error="Value must be between 0 and the current implemented total." sqref="S177" xr:uid="{00000000-0002-0000-0100-000069000000}">
      <formula1>0</formula1>
      <formula2>C94</formula2>
    </dataValidation>
    <dataValidation type="whole" allowBlank="1" showErrorMessage="1" errorTitle="Invalid count" error="Value must be between 0 and the current implemented total." sqref="U177" xr:uid="{00000000-0002-0000-0100-00006A000000}">
      <formula1>0</formula1>
      <formula2>C95</formula2>
    </dataValidation>
    <dataValidation type="whole" allowBlank="1" showErrorMessage="1" errorTitle="Invalid count" error="Value must be between 0 and the current implemented total." sqref="W177" xr:uid="{00000000-0002-0000-0100-00006B000000}">
      <formula1>0</formula1>
      <formula2>C96</formula2>
    </dataValidation>
    <dataValidation type="whole" allowBlank="1" showErrorMessage="1" errorTitle="Invalid overall count" error="Overall count must be between 0 and the current implemented total." sqref="Q178" xr:uid="{00000000-0002-0000-0100-00006C000000}">
      <formula1>0</formula1>
      <formula2>C16</formula2>
    </dataValidation>
    <dataValidation type="whole" allowBlank="1" showErrorMessage="1" errorTitle="Invalid count" error="Value must be between 0 and the current implemented total." sqref="S178" xr:uid="{00000000-0002-0000-0100-00006D000000}">
      <formula1>0</formula1>
      <formula2>C94</formula2>
    </dataValidation>
    <dataValidation type="whole" allowBlank="1" showErrorMessage="1" errorTitle="Invalid count" error="Value must be between 0 and the current implemented total." sqref="U178" xr:uid="{00000000-0002-0000-0100-00006E000000}">
      <formula1>0</formula1>
      <formula2>C95</formula2>
    </dataValidation>
    <dataValidation type="whole" allowBlank="1" showErrorMessage="1" errorTitle="Invalid count" error="Value must be between 0 and the current implemented total." sqref="W178" xr:uid="{00000000-0002-0000-0100-00006F000000}">
      <formula1>0</formula1>
      <formula2>C96</formula2>
    </dataValidation>
    <dataValidation type="whole" allowBlank="1" showErrorMessage="1" errorTitle="Invalid overall count" error="Overall count must be between 0 and the current implemented total." sqref="Q179" xr:uid="{00000000-0002-0000-0100-000070000000}">
      <formula1>0</formula1>
      <formula2>C16</formula2>
    </dataValidation>
    <dataValidation type="whole" allowBlank="1" showErrorMessage="1" errorTitle="Invalid count" error="Value must be between 0 and the current implemented total." sqref="S179" xr:uid="{00000000-0002-0000-0100-000071000000}">
      <formula1>0</formula1>
      <formula2>C94</formula2>
    </dataValidation>
    <dataValidation type="whole" allowBlank="1" showErrorMessage="1" errorTitle="Invalid count" error="Value must be between 0 and the current implemented total." sqref="U179" xr:uid="{00000000-0002-0000-0100-000072000000}">
      <formula1>0</formula1>
      <formula2>C95</formula2>
    </dataValidation>
    <dataValidation type="whole" allowBlank="1" showErrorMessage="1" errorTitle="Invalid count" error="Value must be between 0 and the current implemented total." sqref="W179" xr:uid="{00000000-0002-0000-0100-000073000000}">
      <formula1>0</formula1>
      <formula2>C96</formula2>
    </dataValidation>
    <dataValidation type="whole" allowBlank="1" showErrorMessage="1" errorTitle="Invalid overall count" error="Overall count must be between 0 and the current implemented total." sqref="Q180" xr:uid="{00000000-0002-0000-0100-000074000000}">
      <formula1>0</formula1>
      <formula2>C16</formula2>
    </dataValidation>
    <dataValidation type="whole" allowBlank="1" showErrorMessage="1" errorTitle="Invalid count" error="Value must be between 0 and the current implemented total." sqref="S180" xr:uid="{00000000-0002-0000-0100-000075000000}">
      <formula1>0</formula1>
      <formula2>C94</formula2>
    </dataValidation>
    <dataValidation type="whole" allowBlank="1" showErrorMessage="1" errorTitle="Invalid count" error="Value must be between 0 and the current implemented total." sqref="U180" xr:uid="{00000000-0002-0000-0100-000076000000}">
      <formula1>0</formula1>
      <formula2>C95</formula2>
    </dataValidation>
    <dataValidation type="whole" allowBlank="1" showErrorMessage="1" errorTitle="Invalid count" error="Value must be between 0 and the current implemented total." sqref="W180" xr:uid="{00000000-0002-0000-0100-000077000000}">
      <formula1>0</formula1>
      <formula2>C96</formula2>
    </dataValidation>
    <dataValidation type="whole" allowBlank="1" showErrorMessage="1" errorTitle="Invalid Asset Count" error="Value must be between 0 and the Total Asset Numbers above." sqref="Q193" xr:uid="{00000000-0002-0000-0100-000078000000}">
      <formula1>0</formula1>
      <formula2>$P189</formula2>
    </dataValidation>
    <dataValidation type="whole" allowBlank="1" showErrorMessage="1" errorTitle="Invalid Asset Count" error="Value must be between 0 and the Total Asset Numbers above." sqref="Q194" xr:uid="{00000000-0002-0000-0100-000079000000}">
      <formula1>0</formula1>
      <formula2>$P189</formula2>
    </dataValidation>
    <dataValidation type="whole" allowBlank="1" showErrorMessage="1" errorTitle="Invalid Asset Count" error="Value must be between 0 and the Total Asset Numbers above." sqref="Q195" xr:uid="{00000000-0002-0000-0100-00007A000000}">
      <formula1>0</formula1>
      <formula2>$P189</formula2>
    </dataValidation>
    <dataValidation type="whole" allowBlank="1" showErrorMessage="1" errorTitle="Invalid Asset Count" error="Value must be between 0 and the Total Asset Numbers above." sqref="Q196" xr:uid="{00000000-0002-0000-0100-00007B000000}">
      <formula1>0</formula1>
      <formula2>$P189</formula2>
    </dataValidation>
    <dataValidation type="whole" allowBlank="1" showErrorMessage="1" errorTitle="Invalid Asset Count" error="Value must be between 0 and the Total Asset Numbers above." sqref="Q197" xr:uid="{00000000-0002-0000-0100-00007C000000}">
      <formula1>0</formula1>
      <formula2>$P189</formula2>
    </dataValidation>
    <dataValidation type="whole" allowBlank="1" showErrorMessage="1" errorTitle="Invalid Asset Count" error="Value must be between 0 and the Total Asset Numbers above." sqref="Q198" xr:uid="{00000000-0002-0000-0100-00007D000000}">
      <formula1>0</formula1>
      <formula2>$P189</formula2>
    </dataValidation>
    <dataValidation type="whole" allowBlank="1" showErrorMessage="1" errorTitle="Invalid Asset Count" error="Value must be between 0 and the Total Asset Numbers above." sqref="Q199" xr:uid="{00000000-0002-0000-0100-00007E000000}">
      <formula1>0</formula1>
      <formula2>$P189</formula2>
    </dataValidation>
    <dataValidation type="whole" allowBlank="1" showErrorMessage="1" errorTitle="Invalid Asset Count" error="Value must be between 0 and the Total Asset Numbers above." sqref="Q200" xr:uid="{00000000-0002-0000-0100-00007F000000}">
      <formula1>0</formula1>
      <formula2>$P189</formula2>
    </dataValidation>
    <dataValidation type="whole" allowBlank="1" showErrorMessage="1" errorTitle="Invalid Asset Count" error="Value must be between 0 and the Total Asset Numbers above." sqref="Q201" xr:uid="{00000000-0002-0000-0100-000080000000}">
      <formula1>0</formula1>
      <formula2>$P189</formula2>
    </dataValidation>
    <dataValidation type="whole" allowBlank="1" showErrorMessage="1" errorTitle="Invalid Asset Count" error="Value must be between 0 and the Total Asset Numbers above." sqref="Q202" xr:uid="{00000000-0002-0000-0100-000081000000}">
      <formula1>0</formula1>
      <formula2>$P189</formula2>
    </dataValidation>
    <dataValidation type="whole" allowBlank="1" showErrorMessage="1" errorTitle="Invalid Asset Count" error="Value must be between 0 and the Total Asset Numbers above." sqref="Q203" xr:uid="{00000000-0002-0000-0100-000082000000}">
      <formula1>0</formula1>
      <formula2>$P189</formula2>
    </dataValidation>
    <dataValidation type="whole" allowBlank="1" showErrorMessage="1" errorTitle="Invalid Asset Count" error="Value must be between 0 and the Total Asset Numbers above." sqref="Q204" xr:uid="{00000000-0002-0000-0100-000083000000}">
      <formula1>0</formula1>
      <formula2>$P189</formula2>
    </dataValidation>
    <dataValidation type="whole" allowBlank="1" showErrorMessage="1" errorTitle="Invalid Asset Count" error="Value must be between 0 and the Total Asset Numbers above." sqref="Q205" xr:uid="{00000000-0002-0000-0100-000084000000}">
      <formula1>0</formula1>
      <formula2>$P189</formula2>
    </dataValidation>
    <dataValidation type="whole" allowBlank="1" showErrorMessage="1" errorTitle="Invalid Asset Count" error="Value must be between 0 and the Total Asset Numbers above." sqref="Q206" xr:uid="{00000000-0002-0000-0100-000085000000}">
      <formula1>0</formula1>
      <formula2>$P189</formula2>
    </dataValidation>
    <dataValidation type="whole" allowBlank="1" showErrorMessage="1" errorTitle="Invalid Asset Count" error="Value must be between 0 and the Total Asset Numbers above." sqref="Q207" xr:uid="{00000000-0002-0000-0100-000086000000}">
      <formula1>0</formula1>
      <formula2>$P189</formula2>
    </dataValidation>
    <dataValidation type="whole" allowBlank="1" showErrorMessage="1" errorTitle="Invalid Asset Count" error="Value must be between 0 and the Total Asset Numbers above." sqref="Q208" xr:uid="{00000000-0002-0000-0100-000087000000}">
      <formula1>0</formula1>
      <formula2>$P189</formula2>
    </dataValidation>
    <dataValidation type="whole" allowBlank="1" showErrorMessage="1" errorTitle="Invalid Asset Count" error="Value must be between 0 and the Total Asset Numbers above." sqref="Q209" xr:uid="{00000000-0002-0000-0100-000088000000}">
      <formula1>0</formula1>
      <formula2>$P189</formula2>
    </dataValidation>
    <dataValidation type="whole" allowBlank="1" showErrorMessage="1" errorTitle="Invalid Asset Count" error="Value must be between 0 and the Total Asset Numbers above." sqref="Q210" xr:uid="{00000000-0002-0000-0100-000089000000}">
      <formula1>0</formula1>
      <formula2>$P189</formula2>
    </dataValidation>
    <dataValidation type="whole" allowBlank="1" showErrorMessage="1" errorTitle="Invalid Asset Count" error="Value must be between 0 and the Total Asset Numbers above." sqref="Q211" xr:uid="{00000000-0002-0000-0100-00008A000000}">
      <formula1>0</formula1>
      <formula2>$P189</formula2>
    </dataValidation>
    <dataValidation type="whole" allowBlank="1" showErrorMessage="1" errorTitle="Invalid Asset Count" error="Value must be between 0 and the Total Asset Numbers above." sqref="Q212" xr:uid="{00000000-0002-0000-0100-00008B000000}">
      <formula1>0</formula1>
      <formula2>$P189</formula2>
    </dataValidation>
  </dataValidations>
  <hyperlinks>
    <hyperlink ref="B21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3"/>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69"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32</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58</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16</v>
      </c>
      <c r="D10" s="3" t="s">
        <v>58</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32</v>
      </c>
      <c r="D11" s="3" t="s">
        <v>69</v>
      </c>
      <c r="E11" s="4" t="s">
        <v>18</v>
      </c>
      <c r="F11" s="4" t="s">
        <v>19</v>
      </c>
      <c r="G11" s="4" t="s">
        <v>20</v>
      </c>
      <c r="H11" s="4" t="s">
        <v>21</v>
      </c>
      <c r="I11" s="5" t="s">
        <v>21</v>
      </c>
      <c r="J11" s="1" t="s">
        <v>70</v>
      </c>
      <c r="K11" s="1" t="s">
        <v>71</v>
      </c>
      <c r="L11" s="1" t="s">
        <v>72</v>
      </c>
      <c r="M11" s="4" t="str">
        <f t="shared" si="0"/>
        <v>Outstanding</v>
      </c>
      <c r="N11" s="13" t="s">
        <v>21</v>
      </c>
    </row>
    <row r="12" spans="1:14" ht="60" customHeight="1" x14ac:dyDescent="0.35">
      <c r="A12" s="11" t="s">
        <v>73</v>
      </c>
      <c r="B12" s="1" t="s">
        <v>74</v>
      </c>
      <c r="C12" s="2" t="s">
        <v>16</v>
      </c>
      <c r="D12" s="3" t="s">
        <v>69</v>
      </c>
      <c r="E12" s="4" t="s">
        <v>18</v>
      </c>
      <c r="F12" s="4" t="s">
        <v>19</v>
      </c>
      <c r="G12" s="4" t="s">
        <v>20</v>
      </c>
      <c r="H12" s="4" t="s">
        <v>21</v>
      </c>
      <c r="I12" s="5" t="s">
        <v>21</v>
      </c>
      <c r="J12" s="1" t="s">
        <v>75</v>
      </c>
      <c r="K12" s="1" t="s">
        <v>76</v>
      </c>
      <c r="L12" s="1" t="s">
        <v>77</v>
      </c>
      <c r="M12" s="4" t="str">
        <f t="shared" si="0"/>
        <v>Outstanding</v>
      </c>
      <c r="N12" s="13" t="s">
        <v>21</v>
      </c>
    </row>
    <row r="13" spans="1:14" ht="60" customHeight="1" x14ac:dyDescent="0.35">
      <c r="A13" s="11" t="s">
        <v>78</v>
      </c>
      <c r="B13" s="1" t="s">
        <v>79</v>
      </c>
      <c r="C13" s="2" t="s">
        <v>16</v>
      </c>
      <c r="D13" s="3" t="s">
        <v>69</v>
      </c>
      <c r="E13" s="4" t="s">
        <v>18</v>
      </c>
      <c r="F13" s="4" t="s">
        <v>19</v>
      </c>
      <c r="G13" s="4" t="s">
        <v>20</v>
      </c>
      <c r="H13" s="4" t="s">
        <v>21</v>
      </c>
      <c r="I13" s="5" t="s">
        <v>21</v>
      </c>
      <c r="J13" s="1" t="s">
        <v>80</v>
      </c>
      <c r="K13" s="1" t="s">
        <v>28</v>
      </c>
      <c r="L13" s="1" t="s">
        <v>81</v>
      </c>
      <c r="M13" s="4" t="str">
        <f t="shared" si="0"/>
        <v>Outstanding</v>
      </c>
      <c r="N13" s="13" t="s">
        <v>21</v>
      </c>
    </row>
    <row r="14" spans="1:14" ht="60" customHeight="1" x14ac:dyDescent="0.35">
      <c r="A14" s="11" t="s">
        <v>82</v>
      </c>
      <c r="B14" s="1" t="s">
        <v>83</v>
      </c>
      <c r="C14" s="2" t="s">
        <v>16</v>
      </c>
      <c r="D14" s="3" t="s">
        <v>69</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16</v>
      </c>
      <c r="D15" s="3" t="s">
        <v>69</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69</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16</v>
      </c>
      <c r="D17" s="3" t="s">
        <v>69</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16</v>
      </c>
      <c r="D18" s="3" t="s">
        <v>104</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16</v>
      </c>
      <c r="D19" s="3" t="s">
        <v>104</v>
      </c>
      <c r="E19" s="4" t="s">
        <v>18</v>
      </c>
      <c r="F19" s="4" t="s">
        <v>19</v>
      </c>
      <c r="G19" s="4" t="s">
        <v>20</v>
      </c>
      <c r="H19" s="4" t="s">
        <v>21</v>
      </c>
      <c r="I19" s="5" t="s">
        <v>21</v>
      </c>
      <c r="J19" s="1" t="s">
        <v>110</v>
      </c>
      <c r="K19" s="1" t="s">
        <v>111</v>
      </c>
      <c r="L19" s="1" t="s">
        <v>112</v>
      </c>
      <c r="M19" s="4" t="str">
        <f t="shared" si="0"/>
        <v>Outstanding</v>
      </c>
      <c r="N19" s="13" t="s">
        <v>21</v>
      </c>
    </row>
    <row r="20" spans="1:14" ht="60" customHeight="1" x14ac:dyDescent="0.35">
      <c r="A20" s="11" t="s">
        <v>113</v>
      </c>
      <c r="B20" s="1" t="s">
        <v>114</v>
      </c>
      <c r="C20" s="2" t="s">
        <v>32</v>
      </c>
      <c r="D20" s="3" t="s">
        <v>104</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119</v>
      </c>
      <c r="C21" s="2" t="s">
        <v>32</v>
      </c>
      <c r="D21" s="3" t="s">
        <v>104</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16</v>
      </c>
      <c r="D22" s="3" t="s">
        <v>104</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130</v>
      </c>
      <c r="D23" s="3" t="s">
        <v>104</v>
      </c>
      <c r="E23" s="4" t="s">
        <v>18</v>
      </c>
      <c r="F23" s="4" t="s">
        <v>19</v>
      </c>
      <c r="G23" s="4" t="s">
        <v>20</v>
      </c>
      <c r="H23" s="4" t="s">
        <v>21</v>
      </c>
      <c r="I23" s="5" t="s">
        <v>21</v>
      </c>
      <c r="J23" s="1" t="s">
        <v>131</v>
      </c>
      <c r="K23" s="1" t="s">
        <v>132</v>
      </c>
      <c r="L23" s="1" t="s">
        <v>133</v>
      </c>
      <c r="M23" s="4" t="str">
        <f t="shared" si="0"/>
        <v>Outstanding</v>
      </c>
      <c r="N23" s="13" t="s">
        <v>21</v>
      </c>
    </row>
    <row r="24" spans="1:14" ht="60" customHeight="1" x14ac:dyDescent="0.35">
      <c r="A24" s="11" t="s">
        <v>134</v>
      </c>
      <c r="B24" s="1" t="s">
        <v>135</v>
      </c>
      <c r="C24" s="2" t="s">
        <v>130</v>
      </c>
      <c r="D24" s="3" t="s">
        <v>104</v>
      </c>
      <c r="E24" s="4" t="s">
        <v>18</v>
      </c>
      <c r="F24" s="4" t="s">
        <v>19</v>
      </c>
      <c r="G24" s="4" t="s">
        <v>20</v>
      </c>
      <c r="H24" s="4" t="s">
        <v>21</v>
      </c>
      <c r="I24" s="5" t="s">
        <v>21</v>
      </c>
      <c r="J24" s="1" t="s">
        <v>136</v>
      </c>
      <c r="K24" s="1" t="s">
        <v>137</v>
      </c>
      <c r="L24" s="1" t="s">
        <v>138</v>
      </c>
      <c r="M24" s="4" t="str">
        <f t="shared" si="0"/>
        <v>Outstanding</v>
      </c>
      <c r="N24" s="13" t="s">
        <v>21</v>
      </c>
    </row>
    <row r="25" spans="1:14" ht="60" customHeight="1" x14ac:dyDescent="0.35">
      <c r="A25" s="11" t="s">
        <v>139</v>
      </c>
      <c r="B25" s="1" t="s">
        <v>140</v>
      </c>
      <c r="C25" s="2" t="s">
        <v>16</v>
      </c>
      <c r="D25" s="3" t="s">
        <v>104</v>
      </c>
      <c r="E25" s="4" t="s">
        <v>18</v>
      </c>
      <c r="F25" s="4" t="s">
        <v>19</v>
      </c>
      <c r="G25" s="4" t="s">
        <v>20</v>
      </c>
      <c r="H25" s="4" t="s">
        <v>21</v>
      </c>
      <c r="I25" s="5" t="s">
        <v>21</v>
      </c>
      <c r="J25" s="1" t="s">
        <v>141</v>
      </c>
      <c r="K25" s="1" t="s">
        <v>142</v>
      </c>
      <c r="L25" s="1" t="s">
        <v>143</v>
      </c>
      <c r="M25" s="4" t="str">
        <f t="shared" si="0"/>
        <v>Outstanding</v>
      </c>
      <c r="N25" s="13" t="s">
        <v>21</v>
      </c>
    </row>
    <row r="26" spans="1:14" ht="60" customHeight="1" x14ac:dyDescent="0.35">
      <c r="A26" s="11" t="s">
        <v>144</v>
      </c>
      <c r="B26" s="1" t="s">
        <v>145</v>
      </c>
      <c r="C26" s="2" t="s">
        <v>16</v>
      </c>
      <c r="D26" s="3" t="s">
        <v>104</v>
      </c>
      <c r="E26" s="4" t="s">
        <v>18</v>
      </c>
      <c r="F26" s="4" t="s">
        <v>19</v>
      </c>
      <c r="G26" s="4" t="s">
        <v>20</v>
      </c>
      <c r="H26" s="4" t="s">
        <v>21</v>
      </c>
      <c r="I26" s="5" t="s">
        <v>21</v>
      </c>
      <c r="J26" s="1" t="s">
        <v>146</v>
      </c>
      <c r="K26" s="1" t="s">
        <v>147</v>
      </c>
      <c r="L26" s="1" t="s">
        <v>148</v>
      </c>
      <c r="M26" s="4" t="str">
        <f t="shared" si="0"/>
        <v>Outstanding</v>
      </c>
      <c r="N26" s="13" t="s">
        <v>21</v>
      </c>
    </row>
    <row r="27" spans="1:14" ht="60" customHeight="1" x14ac:dyDescent="0.35">
      <c r="A27" s="11" t="s">
        <v>149</v>
      </c>
      <c r="B27" s="1" t="s">
        <v>150</v>
      </c>
      <c r="C27" s="2" t="s">
        <v>16</v>
      </c>
      <c r="D27" s="3" t="s">
        <v>104</v>
      </c>
      <c r="E27" s="4" t="s">
        <v>18</v>
      </c>
      <c r="F27" s="4" t="s">
        <v>19</v>
      </c>
      <c r="G27" s="4" t="s">
        <v>20</v>
      </c>
      <c r="H27" s="4" t="s">
        <v>21</v>
      </c>
      <c r="I27" s="5" t="s">
        <v>21</v>
      </c>
      <c r="J27" s="1" t="s">
        <v>151</v>
      </c>
      <c r="K27" s="1" t="s">
        <v>152</v>
      </c>
      <c r="L27" s="1" t="s">
        <v>153</v>
      </c>
      <c r="M27" s="4" t="str">
        <f t="shared" si="0"/>
        <v>Outstanding</v>
      </c>
      <c r="N27" s="13" t="s">
        <v>21</v>
      </c>
    </row>
    <row r="28" spans="1:14" ht="60" customHeight="1" x14ac:dyDescent="0.35">
      <c r="A28" s="11" t="s">
        <v>154</v>
      </c>
      <c r="B28" s="1" t="s">
        <v>155</v>
      </c>
      <c r="C28" s="2" t="s">
        <v>16</v>
      </c>
      <c r="D28" s="3" t="s">
        <v>104</v>
      </c>
      <c r="E28" s="4" t="s">
        <v>18</v>
      </c>
      <c r="F28" s="4" t="s">
        <v>19</v>
      </c>
      <c r="G28" s="4" t="s">
        <v>20</v>
      </c>
      <c r="H28" s="4" t="s">
        <v>21</v>
      </c>
      <c r="I28" s="5" t="s">
        <v>21</v>
      </c>
      <c r="J28" s="1" t="s">
        <v>156</v>
      </c>
      <c r="K28" s="1" t="s">
        <v>157</v>
      </c>
      <c r="L28" s="1" t="s">
        <v>158</v>
      </c>
      <c r="M28" s="4" t="str">
        <f t="shared" si="0"/>
        <v>Outstanding</v>
      </c>
      <c r="N28" s="13" t="s">
        <v>21</v>
      </c>
    </row>
    <row r="29" spans="1:14" ht="60" customHeight="1" x14ac:dyDescent="0.35">
      <c r="A29" s="11" t="s">
        <v>159</v>
      </c>
      <c r="B29" s="1" t="s">
        <v>160</v>
      </c>
      <c r="C29" s="2" t="s">
        <v>16</v>
      </c>
      <c r="D29" s="3" t="s">
        <v>104</v>
      </c>
      <c r="E29" s="4" t="s">
        <v>18</v>
      </c>
      <c r="F29" s="4" t="s">
        <v>19</v>
      </c>
      <c r="G29" s="4" t="s">
        <v>20</v>
      </c>
      <c r="H29" s="4" t="s">
        <v>21</v>
      </c>
      <c r="I29" s="5" t="s">
        <v>21</v>
      </c>
      <c r="J29" s="1" t="s">
        <v>161</v>
      </c>
      <c r="K29" s="1" t="s">
        <v>162</v>
      </c>
      <c r="L29" s="1" t="s">
        <v>163</v>
      </c>
      <c r="M29" s="4" t="str">
        <f t="shared" si="0"/>
        <v>Outstanding</v>
      </c>
      <c r="N29" s="13" t="s">
        <v>21</v>
      </c>
    </row>
    <row r="30" spans="1:14" ht="60" customHeight="1" x14ac:dyDescent="0.35">
      <c r="A30" s="11" t="s">
        <v>164</v>
      </c>
      <c r="B30" s="1" t="s">
        <v>165</v>
      </c>
      <c r="C30" s="2" t="s">
        <v>16</v>
      </c>
      <c r="D30" s="3" t="s">
        <v>104</v>
      </c>
      <c r="E30" s="4" t="s">
        <v>18</v>
      </c>
      <c r="F30" s="4" t="s">
        <v>19</v>
      </c>
      <c r="G30" s="4" t="s">
        <v>20</v>
      </c>
      <c r="H30" s="4" t="s">
        <v>21</v>
      </c>
      <c r="I30" s="5" t="s">
        <v>21</v>
      </c>
      <c r="J30" s="1" t="s">
        <v>166</v>
      </c>
      <c r="K30" s="1" t="s">
        <v>167</v>
      </c>
      <c r="L30" s="1" t="s">
        <v>168</v>
      </c>
      <c r="M30" s="4" t="str">
        <f t="shared" si="0"/>
        <v>Outstanding</v>
      </c>
      <c r="N30" s="13" t="s">
        <v>21</v>
      </c>
    </row>
    <row r="31" spans="1:14" ht="60" customHeight="1" x14ac:dyDescent="0.35">
      <c r="A31" s="11" t="s">
        <v>169</v>
      </c>
      <c r="B31" s="1" t="s">
        <v>170</v>
      </c>
      <c r="C31" s="2" t="s">
        <v>32</v>
      </c>
      <c r="D31" s="3" t="s">
        <v>104</v>
      </c>
      <c r="E31" s="4" t="s">
        <v>18</v>
      </c>
      <c r="F31" s="4" t="s">
        <v>19</v>
      </c>
      <c r="G31" s="4" t="s">
        <v>20</v>
      </c>
      <c r="H31" s="4" t="s">
        <v>21</v>
      </c>
      <c r="I31" s="5" t="s">
        <v>21</v>
      </c>
      <c r="J31" s="1" t="s">
        <v>171</v>
      </c>
      <c r="K31" s="1" t="s">
        <v>172</v>
      </c>
      <c r="L31" s="1" t="s">
        <v>173</v>
      </c>
      <c r="M31" s="4" t="str">
        <f t="shared" si="0"/>
        <v>Outstanding</v>
      </c>
      <c r="N31" s="13" t="s">
        <v>21</v>
      </c>
    </row>
    <row r="32" spans="1:14" ht="60" customHeight="1" x14ac:dyDescent="0.35">
      <c r="A32" s="11" t="s">
        <v>174</v>
      </c>
      <c r="B32" s="1" t="s">
        <v>175</v>
      </c>
      <c r="C32" s="2" t="s">
        <v>32</v>
      </c>
      <c r="D32" s="3" t="s">
        <v>104</v>
      </c>
      <c r="E32" s="4" t="s">
        <v>18</v>
      </c>
      <c r="F32" s="4" t="s">
        <v>19</v>
      </c>
      <c r="G32" s="4" t="s">
        <v>20</v>
      </c>
      <c r="H32" s="4" t="s">
        <v>21</v>
      </c>
      <c r="I32" s="5" t="s">
        <v>21</v>
      </c>
      <c r="J32" s="1" t="s">
        <v>176</v>
      </c>
      <c r="K32" s="1" t="s">
        <v>121</v>
      </c>
      <c r="L32" s="1" t="s">
        <v>177</v>
      </c>
      <c r="M32" s="4" t="str">
        <f t="shared" si="0"/>
        <v>Outstanding</v>
      </c>
      <c r="N32" s="13" t="s">
        <v>21</v>
      </c>
    </row>
    <row r="33" spans="1:14" ht="60" customHeight="1" x14ac:dyDescent="0.35">
      <c r="A33" s="11" t="s">
        <v>178</v>
      </c>
      <c r="B33" s="1" t="s">
        <v>179</v>
      </c>
      <c r="C33" s="2" t="s">
        <v>32</v>
      </c>
      <c r="D33" s="3" t="s">
        <v>104</v>
      </c>
      <c r="E33" s="4" t="s">
        <v>18</v>
      </c>
      <c r="F33" s="4" t="s">
        <v>19</v>
      </c>
      <c r="G33" s="4" t="s">
        <v>20</v>
      </c>
      <c r="H33" s="4" t="s">
        <v>21</v>
      </c>
      <c r="I33" s="5" t="s">
        <v>21</v>
      </c>
      <c r="J33" s="1" t="s">
        <v>180</v>
      </c>
      <c r="K33" s="1" t="s">
        <v>121</v>
      </c>
      <c r="L33" s="1" t="s">
        <v>181</v>
      </c>
      <c r="M33" s="4" t="str">
        <f t="shared" si="0"/>
        <v>Outstanding</v>
      </c>
      <c r="N33" s="13" t="s">
        <v>21</v>
      </c>
    </row>
    <row r="34" spans="1:14" ht="60" customHeight="1" x14ac:dyDescent="0.35">
      <c r="A34" s="11" t="s">
        <v>182</v>
      </c>
      <c r="B34" s="1" t="s">
        <v>183</v>
      </c>
      <c r="C34" s="2" t="s">
        <v>16</v>
      </c>
      <c r="D34" s="3" t="s">
        <v>184</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32</v>
      </c>
      <c r="D35" s="3" t="s">
        <v>184</v>
      </c>
      <c r="E35" s="4" t="s">
        <v>18</v>
      </c>
      <c r="F35" s="4" t="s">
        <v>19</v>
      </c>
      <c r="G35" s="4" t="s">
        <v>20</v>
      </c>
      <c r="H35" s="4" t="s">
        <v>21</v>
      </c>
      <c r="I35" s="5" t="s">
        <v>21</v>
      </c>
      <c r="J35" s="1" t="s">
        <v>190</v>
      </c>
      <c r="K35" s="1" t="s">
        <v>191</v>
      </c>
      <c r="L35" s="1" t="s">
        <v>187</v>
      </c>
      <c r="M35" s="4" t="str">
        <f t="shared" si="0"/>
        <v>Outstanding</v>
      </c>
      <c r="N35" s="13" t="s">
        <v>21</v>
      </c>
    </row>
    <row r="36" spans="1:14" ht="60" customHeight="1" x14ac:dyDescent="0.35">
      <c r="A36" s="11" t="s">
        <v>192</v>
      </c>
      <c r="B36" s="1" t="s">
        <v>193</v>
      </c>
      <c r="C36" s="2" t="s">
        <v>16</v>
      </c>
      <c r="D36" s="3" t="s">
        <v>184</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16</v>
      </c>
      <c r="D37" s="3" t="s">
        <v>184</v>
      </c>
      <c r="E37" s="4" t="s">
        <v>18</v>
      </c>
      <c r="F37" s="4" t="s">
        <v>19</v>
      </c>
      <c r="G37" s="4" t="s">
        <v>20</v>
      </c>
      <c r="H37" s="4" t="s">
        <v>21</v>
      </c>
      <c r="I37" s="5" t="s">
        <v>21</v>
      </c>
      <c r="J37" s="1" t="s">
        <v>199</v>
      </c>
      <c r="K37" s="1" t="s">
        <v>28</v>
      </c>
      <c r="L37" s="1" t="s">
        <v>200</v>
      </c>
      <c r="M37" s="4" t="str">
        <f t="shared" si="0"/>
        <v>Outstanding</v>
      </c>
      <c r="N37" s="13" t="s">
        <v>21</v>
      </c>
    </row>
    <row r="38" spans="1:14" ht="60" customHeight="1" x14ac:dyDescent="0.35">
      <c r="A38" s="11" t="s">
        <v>201</v>
      </c>
      <c r="B38" s="1" t="s">
        <v>83</v>
      </c>
      <c r="C38" s="2" t="s">
        <v>16</v>
      </c>
      <c r="D38" s="3" t="s">
        <v>184</v>
      </c>
      <c r="E38" s="4" t="s">
        <v>18</v>
      </c>
      <c r="F38" s="4" t="s">
        <v>19</v>
      </c>
      <c r="G38" s="4" t="s">
        <v>20</v>
      </c>
      <c r="H38" s="4" t="s">
        <v>21</v>
      </c>
      <c r="I38" s="5" t="s">
        <v>21</v>
      </c>
      <c r="J38" s="1" t="s">
        <v>202</v>
      </c>
      <c r="K38" s="1" t="s">
        <v>203</v>
      </c>
      <c r="L38" s="1" t="s">
        <v>204</v>
      </c>
      <c r="M38" s="4" t="str">
        <f t="shared" si="0"/>
        <v>Outstanding</v>
      </c>
      <c r="N38" s="13" t="s">
        <v>21</v>
      </c>
    </row>
    <row r="39" spans="1:14" ht="60" customHeight="1" x14ac:dyDescent="0.35">
      <c r="A39" s="11" t="s">
        <v>205</v>
      </c>
      <c r="B39" s="1" t="s">
        <v>206</v>
      </c>
      <c r="C39" s="2" t="s">
        <v>16</v>
      </c>
      <c r="D39" s="3" t="s">
        <v>184</v>
      </c>
      <c r="E39" s="4" t="s">
        <v>18</v>
      </c>
      <c r="F39" s="4" t="s">
        <v>19</v>
      </c>
      <c r="G39" s="4" t="s">
        <v>20</v>
      </c>
      <c r="H39" s="4" t="s">
        <v>21</v>
      </c>
      <c r="I39" s="5" t="s">
        <v>21</v>
      </c>
      <c r="J39" s="1" t="s">
        <v>207</v>
      </c>
      <c r="K39" s="1" t="s">
        <v>39</v>
      </c>
      <c r="L39" s="1" t="s">
        <v>208</v>
      </c>
      <c r="M39" s="4" t="str">
        <f t="shared" si="0"/>
        <v>Outstanding</v>
      </c>
      <c r="N39" s="13" t="s">
        <v>21</v>
      </c>
    </row>
    <row r="40" spans="1:14" ht="60" customHeight="1" x14ac:dyDescent="0.35">
      <c r="A40" s="11" t="s">
        <v>209</v>
      </c>
      <c r="B40" s="1" t="s">
        <v>210</v>
      </c>
      <c r="C40" s="2" t="s">
        <v>16</v>
      </c>
      <c r="D40" s="3" t="s">
        <v>184</v>
      </c>
      <c r="E40" s="4" t="s">
        <v>18</v>
      </c>
      <c r="F40" s="4" t="s">
        <v>19</v>
      </c>
      <c r="G40" s="4" t="s">
        <v>20</v>
      </c>
      <c r="H40" s="4" t="s">
        <v>21</v>
      </c>
      <c r="I40" s="5" t="s">
        <v>21</v>
      </c>
      <c r="J40" s="1" t="s">
        <v>211</v>
      </c>
      <c r="K40" s="1" t="s">
        <v>212</v>
      </c>
      <c r="L40" s="1" t="s">
        <v>213</v>
      </c>
      <c r="M40" s="4" t="str">
        <f t="shared" si="0"/>
        <v>Outstanding</v>
      </c>
      <c r="N40" s="13" t="s">
        <v>21</v>
      </c>
    </row>
    <row r="41" spans="1:14" ht="60" customHeight="1" x14ac:dyDescent="0.35">
      <c r="A41" s="11" t="s">
        <v>214</v>
      </c>
      <c r="B41" s="1" t="s">
        <v>215</v>
      </c>
      <c r="C41" s="2" t="s">
        <v>16</v>
      </c>
      <c r="D41" s="3" t="s">
        <v>184</v>
      </c>
      <c r="E41" s="4" t="s">
        <v>18</v>
      </c>
      <c r="F41" s="4" t="s">
        <v>19</v>
      </c>
      <c r="G41" s="4" t="s">
        <v>20</v>
      </c>
      <c r="H41" s="4" t="s">
        <v>21</v>
      </c>
      <c r="I41" s="5" t="s">
        <v>21</v>
      </c>
      <c r="J41" s="1" t="s">
        <v>216</v>
      </c>
      <c r="K41" s="1" t="s">
        <v>217</v>
      </c>
      <c r="L41" s="1" t="s">
        <v>218</v>
      </c>
      <c r="M41" s="4" t="str">
        <f t="shared" si="0"/>
        <v>Outstanding</v>
      </c>
      <c r="N41" s="13" t="s">
        <v>21</v>
      </c>
    </row>
    <row r="42" spans="1:14" ht="60" customHeight="1" x14ac:dyDescent="0.35">
      <c r="A42" s="11" t="s">
        <v>219</v>
      </c>
      <c r="B42" s="1" t="s">
        <v>220</v>
      </c>
      <c r="C42" s="2" t="s">
        <v>16</v>
      </c>
      <c r="D42" s="3" t="s">
        <v>184</v>
      </c>
      <c r="E42" s="4" t="s">
        <v>18</v>
      </c>
      <c r="F42" s="4" t="s">
        <v>19</v>
      </c>
      <c r="G42" s="4" t="s">
        <v>20</v>
      </c>
      <c r="H42" s="4" t="s">
        <v>21</v>
      </c>
      <c r="I42" s="5" t="s">
        <v>21</v>
      </c>
      <c r="J42" s="1" t="s">
        <v>221</v>
      </c>
      <c r="K42" s="1" t="s">
        <v>100</v>
      </c>
      <c r="L42" s="1" t="s">
        <v>50</v>
      </c>
      <c r="M42" s="4" t="str">
        <f t="shared" si="0"/>
        <v>Outstanding</v>
      </c>
      <c r="N42" s="13" t="s">
        <v>21</v>
      </c>
    </row>
    <row r="43" spans="1:14" ht="60" customHeight="1" x14ac:dyDescent="0.35">
      <c r="A43" s="11" t="s">
        <v>222</v>
      </c>
      <c r="B43" s="1" t="s">
        <v>223</v>
      </c>
      <c r="C43" s="2" t="s">
        <v>130</v>
      </c>
      <c r="D43" s="3" t="s">
        <v>224</v>
      </c>
      <c r="E43" s="4" t="s">
        <v>18</v>
      </c>
      <c r="F43" s="4" t="s">
        <v>19</v>
      </c>
      <c r="G43" s="4" t="s">
        <v>20</v>
      </c>
      <c r="H43" s="4" t="s">
        <v>21</v>
      </c>
      <c r="I43" s="5" t="s">
        <v>21</v>
      </c>
      <c r="J43" s="1" t="s">
        <v>225</v>
      </c>
      <c r="K43" s="1" t="s">
        <v>116</v>
      </c>
      <c r="L43" s="1" t="s">
        <v>226</v>
      </c>
      <c r="M43" s="4" t="str">
        <f t="shared" si="0"/>
        <v>Outstanding</v>
      </c>
      <c r="N43" s="13" t="s">
        <v>21</v>
      </c>
    </row>
    <row r="44" spans="1:14" ht="60" customHeight="1" x14ac:dyDescent="0.35">
      <c r="A44" s="11" t="s">
        <v>227</v>
      </c>
      <c r="B44" s="1" t="s">
        <v>228</v>
      </c>
      <c r="C44" s="2" t="s">
        <v>32</v>
      </c>
      <c r="D44" s="3" t="s">
        <v>224</v>
      </c>
      <c r="E44" s="4" t="s">
        <v>18</v>
      </c>
      <c r="F44" s="4" t="s">
        <v>19</v>
      </c>
      <c r="G44" s="4" t="s">
        <v>20</v>
      </c>
      <c r="H44" s="4" t="s">
        <v>21</v>
      </c>
      <c r="I44" s="5" t="s">
        <v>21</v>
      </c>
      <c r="J44" s="1" t="s">
        <v>229</v>
      </c>
      <c r="K44" s="1" t="s">
        <v>230</v>
      </c>
      <c r="L44" s="1" t="s">
        <v>231</v>
      </c>
      <c r="M44" s="4" t="str">
        <f t="shared" si="0"/>
        <v>Outstanding</v>
      </c>
      <c r="N44" s="13" t="s">
        <v>21</v>
      </c>
    </row>
    <row r="45" spans="1:14" ht="60" customHeight="1" x14ac:dyDescent="0.35">
      <c r="A45" s="11" t="s">
        <v>232</v>
      </c>
      <c r="B45" s="1" t="s">
        <v>233</v>
      </c>
      <c r="C45" s="2" t="s">
        <v>16</v>
      </c>
      <c r="D45" s="3" t="s">
        <v>224</v>
      </c>
      <c r="E45" s="4" t="s">
        <v>18</v>
      </c>
      <c r="F45" s="4" t="s">
        <v>19</v>
      </c>
      <c r="G45" s="4" t="s">
        <v>20</v>
      </c>
      <c r="H45" s="4" t="s">
        <v>21</v>
      </c>
      <c r="I45" s="5" t="s">
        <v>21</v>
      </c>
      <c r="J45" s="1" t="s">
        <v>234</v>
      </c>
      <c r="K45" s="1" t="s">
        <v>235</v>
      </c>
      <c r="L45" s="1" t="s">
        <v>236</v>
      </c>
      <c r="M45" s="4" t="str">
        <f t="shared" si="0"/>
        <v>Outstanding</v>
      </c>
      <c r="N45" s="13" t="s">
        <v>21</v>
      </c>
    </row>
    <row r="46" spans="1:14" ht="60" customHeight="1" x14ac:dyDescent="0.35">
      <c r="A46" s="11" t="s">
        <v>237</v>
      </c>
      <c r="B46" s="1" t="s">
        <v>238</v>
      </c>
      <c r="C46" s="2" t="s">
        <v>32</v>
      </c>
      <c r="D46" s="3" t="s">
        <v>224</v>
      </c>
      <c r="E46" s="4" t="s">
        <v>18</v>
      </c>
      <c r="F46" s="4" t="s">
        <v>19</v>
      </c>
      <c r="G46" s="4" t="s">
        <v>20</v>
      </c>
      <c r="H46" s="4" t="s">
        <v>21</v>
      </c>
      <c r="I46" s="5" t="s">
        <v>21</v>
      </c>
      <c r="J46" s="1" t="s">
        <v>239</v>
      </c>
      <c r="K46" s="1" t="s">
        <v>230</v>
      </c>
      <c r="L46" s="1" t="s">
        <v>240</v>
      </c>
      <c r="M46" s="4" t="str">
        <f t="shared" si="0"/>
        <v>Outstanding</v>
      </c>
      <c r="N46" s="13" t="s">
        <v>21</v>
      </c>
    </row>
    <row r="47" spans="1:14" ht="60" customHeight="1" x14ac:dyDescent="0.35">
      <c r="A47" s="11" t="s">
        <v>241</v>
      </c>
      <c r="B47" s="1" t="s">
        <v>242</v>
      </c>
      <c r="C47" s="2" t="s">
        <v>130</v>
      </c>
      <c r="D47" s="3" t="s">
        <v>243</v>
      </c>
      <c r="E47" s="4" t="s">
        <v>18</v>
      </c>
      <c r="F47" s="4" t="s">
        <v>19</v>
      </c>
      <c r="G47" s="4" t="s">
        <v>20</v>
      </c>
      <c r="H47" s="4" t="s">
        <v>21</v>
      </c>
      <c r="I47" s="5" t="s">
        <v>21</v>
      </c>
      <c r="J47" s="1" t="s">
        <v>244</v>
      </c>
      <c r="K47" s="1" t="s">
        <v>245</v>
      </c>
      <c r="L47" s="1" t="s">
        <v>246</v>
      </c>
      <c r="M47" s="4" t="str">
        <f t="shared" si="0"/>
        <v>Outstanding</v>
      </c>
      <c r="N47" s="13" t="s">
        <v>21</v>
      </c>
    </row>
    <row r="48" spans="1:14" ht="60" customHeight="1" x14ac:dyDescent="0.35">
      <c r="A48" s="11" t="s">
        <v>247</v>
      </c>
      <c r="B48" s="1" t="s">
        <v>248</v>
      </c>
      <c r="C48" s="2" t="s">
        <v>16</v>
      </c>
      <c r="D48" s="3" t="s">
        <v>243</v>
      </c>
      <c r="E48" s="4" t="s">
        <v>18</v>
      </c>
      <c r="F48" s="4" t="s">
        <v>19</v>
      </c>
      <c r="G48" s="4" t="s">
        <v>20</v>
      </c>
      <c r="H48" s="4" t="s">
        <v>21</v>
      </c>
      <c r="I48" s="5" t="s">
        <v>21</v>
      </c>
      <c r="J48" s="1" t="s">
        <v>249</v>
      </c>
      <c r="K48" s="1" t="s">
        <v>250</v>
      </c>
      <c r="L48" s="1" t="s">
        <v>251</v>
      </c>
      <c r="M48" s="4" t="str">
        <f t="shared" si="0"/>
        <v>Outstanding</v>
      </c>
      <c r="N48" s="13" t="s">
        <v>21</v>
      </c>
    </row>
    <row r="49" spans="1:14" ht="60" customHeight="1" x14ac:dyDescent="0.35">
      <c r="A49" s="11" t="s">
        <v>252</v>
      </c>
      <c r="B49" s="1" t="s">
        <v>253</v>
      </c>
      <c r="C49" s="2" t="s">
        <v>16</v>
      </c>
      <c r="D49" s="3" t="s">
        <v>243</v>
      </c>
      <c r="E49" s="4" t="s">
        <v>18</v>
      </c>
      <c r="F49" s="4" t="s">
        <v>19</v>
      </c>
      <c r="G49" s="4" t="s">
        <v>20</v>
      </c>
      <c r="H49" s="4" t="s">
        <v>21</v>
      </c>
      <c r="I49" s="5" t="s">
        <v>21</v>
      </c>
      <c r="J49" s="1" t="s">
        <v>254</v>
      </c>
      <c r="K49" s="1" t="s">
        <v>255</v>
      </c>
      <c r="L49" s="1" t="s">
        <v>256</v>
      </c>
      <c r="M49" s="4" t="str">
        <f t="shared" si="0"/>
        <v>Outstanding</v>
      </c>
      <c r="N49" s="13" t="s">
        <v>21</v>
      </c>
    </row>
    <row r="50" spans="1:14" ht="60" customHeight="1" x14ac:dyDescent="0.35">
      <c r="A50" s="11" t="s">
        <v>257</v>
      </c>
      <c r="B50" s="1" t="s">
        <v>258</v>
      </c>
      <c r="C50" s="2" t="s">
        <v>130</v>
      </c>
      <c r="D50" s="3" t="s">
        <v>243</v>
      </c>
      <c r="E50" s="4" t="s">
        <v>18</v>
      </c>
      <c r="F50" s="4" t="s">
        <v>19</v>
      </c>
      <c r="G50" s="4" t="s">
        <v>20</v>
      </c>
      <c r="H50" s="4" t="s">
        <v>21</v>
      </c>
      <c r="I50" s="5" t="s">
        <v>21</v>
      </c>
      <c r="J50" s="1" t="s">
        <v>259</v>
      </c>
      <c r="K50" s="1" t="s">
        <v>260</v>
      </c>
      <c r="L50" s="1" t="s">
        <v>261</v>
      </c>
      <c r="M50" s="4" t="str">
        <f t="shared" si="0"/>
        <v>Outstanding</v>
      </c>
      <c r="N50" s="13" t="s">
        <v>21</v>
      </c>
    </row>
    <row r="51" spans="1:14" ht="60" customHeight="1" x14ac:dyDescent="0.35">
      <c r="A51" s="11" t="s">
        <v>262</v>
      </c>
      <c r="B51" s="1" t="s">
        <v>263</v>
      </c>
      <c r="C51" s="2" t="s">
        <v>16</v>
      </c>
      <c r="D51" s="3" t="s">
        <v>243</v>
      </c>
      <c r="E51" s="4" t="s">
        <v>18</v>
      </c>
      <c r="F51" s="4" t="s">
        <v>19</v>
      </c>
      <c r="G51" s="4" t="s">
        <v>20</v>
      </c>
      <c r="H51" s="4" t="s">
        <v>21</v>
      </c>
      <c r="I51" s="5" t="s">
        <v>21</v>
      </c>
      <c r="J51" s="1" t="s">
        <v>264</v>
      </c>
      <c r="K51" s="1" t="s">
        <v>265</v>
      </c>
      <c r="L51" s="1" t="s">
        <v>266</v>
      </c>
      <c r="M51" s="4" t="str">
        <f t="shared" si="0"/>
        <v>Outstanding</v>
      </c>
      <c r="N51" s="13" t="s">
        <v>21</v>
      </c>
    </row>
    <row r="52" spans="1:14" ht="60" customHeight="1" x14ac:dyDescent="0.35">
      <c r="A52" s="11" t="s">
        <v>267</v>
      </c>
      <c r="B52" s="1" t="s">
        <v>268</v>
      </c>
      <c r="C52" s="2" t="s">
        <v>16</v>
      </c>
      <c r="D52" s="3" t="s">
        <v>243</v>
      </c>
      <c r="E52" s="4" t="s">
        <v>18</v>
      </c>
      <c r="F52" s="4" t="s">
        <v>19</v>
      </c>
      <c r="G52" s="4" t="s">
        <v>20</v>
      </c>
      <c r="H52" s="4" t="s">
        <v>21</v>
      </c>
      <c r="I52" s="5" t="s">
        <v>21</v>
      </c>
      <c r="J52" s="1" t="s">
        <v>269</v>
      </c>
      <c r="K52" s="1" t="s">
        <v>270</v>
      </c>
      <c r="L52" s="1" t="s">
        <v>271</v>
      </c>
      <c r="M52" s="4" t="str">
        <f t="shared" si="0"/>
        <v>Outstanding</v>
      </c>
      <c r="N52" s="13" t="s">
        <v>21</v>
      </c>
    </row>
    <row r="53" spans="1:14" ht="60" customHeight="1" x14ac:dyDescent="0.35">
      <c r="A53" s="11" t="s">
        <v>272</v>
      </c>
      <c r="B53" s="1" t="s">
        <v>273</v>
      </c>
      <c r="C53" s="2" t="s">
        <v>16</v>
      </c>
      <c r="D53" s="3" t="s">
        <v>243</v>
      </c>
      <c r="E53" s="4" t="s">
        <v>18</v>
      </c>
      <c r="F53" s="4" t="s">
        <v>19</v>
      </c>
      <c r="G53" s="4" t="s">
        <v>20</v>
      </c>
      <c r="H53" s="4" t="s">
        <v>21</v>
      </c>
      <c r="I53" s="5" t="s">
        <v>21</v>
      </c>
      <c r="J53" s="1" t="s">
        <v>259</v>
      </c>
      <c r="K53" s="1" t="s">
        <v>274</v>
      </c>
      <c r="L53" s="1" t="s">
        <v>275</v>
      </c>
      <c r="M53" s="4" t="str">
        <f t="shared" si="0"/>
        <v>Outstanding</v>
      </c>
      <c r="N53" s="13" t="s">
        <v>21</v>
      </c>
    </row>
    <row r="54" spans="1:14" ht="60" customHeight="1" x14ac:dyDescent="0.35">
      <c r="A54" s="11" t="s">
        <v>276</v>
      </c>
      <c r="B54" s="1" t="s">
        <v>277</v>
      </c>
      <c r="C54" s="2" t="s">
        <v>16</v>
      </c>
      <c r="D54" s="3" t="s">
        <v>243</v>
      </c>
      <c r="E54" s="4" t="s">
        <v>18</v>
      </c>
      <c r="F54" s="4" t="s">
        <v>19</v>
      </c>
      <c r="G54" s="4" t="s">
        <v>20</v>
      </c>
      <c r="H54" s="4" t="s">
        <v>21</v>
      </c>
      <c r="I54" s="5" t="s">
        <v>21</v>
      </c>
      <c r="J54" s="1" t="s">
        <v>278</v>
      </c>
      <c r="K54" s="1" t="s">
        <v>279</v>
      </c>
      <c r="L54" s="1" t="s">
        <v>280</v>
      </c>
      <c r="M54" s="4" t="str">
        <f t="shared" si="0"/>
        <v>Outstanding</v>
      </c>
      <c r="N54" s="13" t="s">
        <v>21</v>
      </c>
    </row>
    <row r="55" spans="1:14" ht="60" customHeight="1" x14ac:dyDescent="0.35">
      <c r="A55" s="11" t="s">
        <v>281</v>
      </c>
      <c r="B55" s="1" t="s">
        <v>282</v>
      </c>
      <c r="C55" s="2" t="s">
        <v>16</v>
      </c>
      <c r="D55" s="3" t="s">
        <v>243</v>
      </c>
      <c r="E55" s="4" t="s">
        <v>18</v>
      </c>
      <c r="F55" s="4" t="s">
        <v>19</v>
      </c>
      <c r="G55" s="4" t="s">
        <v>20</v>
      </c>
      <c r="H55" s="4" t="s">
        <v>21</v>
      </c>
      <c r="I55" s="5" t="s">
        <v>21</v>
      </c>
      <c r="J55" s="1" t="s">
        <v>283</v>
      </c>
      <c r="K55" s="1" t="s">
        <v>284</v>
      </c>
      <c r="L55" s="1" t="s">
        <v>285</v>
      </c>
      <c r="M55" s="4" t="str">
        <f t="shared" si="0"/>
        <v>Outstanding</v>
      </c>
      <c r="N55" s="13" t="s">
        <v>21</v>
      </c>
    </row>
    <row r="56" spans="1:14" ht="60" customHeight="1" x14ac:dyDescent="0.35">
      <c r="A56" s="11" t="s">
        <v>286</v>
      </c>
      <c r="B56" s="1" t="s">
        <v>287</v>
      </c>
      <c r="C56" s="2" t="s">
        <v>16</v>
      </c>
      <c r="D56" s="3" t="s">
        <v>243</v>
      </c>
      <c r="E56" s="4" t="s">
        <v>18</v>
      </c>
      <c r="F56" s="4" t="s">
        <v>19</v>
      </c>
      <c r="G56" s="4" t="s">
        <v>20</v>
      </c>
      <c r="H56" s="4" t="s">
        <v>21</v>
      </c>
      <c r="I56" s="5" t="s">
        <v>21</v>
      </c>
      <c r="J56" s="1" t="s">
        <v>288</v>
      </c>
      <c r="K56" s="1" t="s">
        <v>289</v>
      </c>
      <c r="L56" s="1" t="s">
        <v>290</v>
      </c>
      <c r="M56" s="4" t="str">
        <f t="shared" si="0"/>
        <v>Outstanding</v>
      </c>
      <c r="N56" s="13" t="s">
        <v>21</v>
      </c>
    </row>
    <row r="57" spans="1:14" ht="60" customHeight="1" x14ac:dyDescent="0.35">
      <c r="A57" s="11" t="s">
        <v>291</v>
      </c>
      <c r="B57" s="1" t="s">
        <v>292</v>
      </c>
      <c r="C57" s="2" t="s">
        <v>16</v>
      </c>
      <c r="D57" s="3" t="s">
        <v>243</v>
      </c>
      <c r="E57" s="4" t="s">
        <v>18</v>
      </c>
      <c r="F57" s="4" t="s">
        <v>19</v>
      </c>
      <c r="G57" s="4" t="s">
        <v>20</v>
      </c>
      <c r="H57" s="4" t="s">
        <v>21</v>
      </c>
      <c r="I57" s="5" t="s">
        <v>21</v>
      </c>
      <c r="J57" s="1" t="s">
        <v>283</v>
      </c>
      <c r="K57" s="1" t="s">
        <v>293</v>
      </c>
      <c r="L57" s="1" t="s">
        <v>285</v>
      </c>
      <c r="M57" s="4" t="str">
        <f t="shared" si="0"/>
        <v>Outstanding</v>
      </c>
      <c r="N57" s="13" t="s">
        <v>21</v>
      </c>
    </row>
    <row r="58" spans="1:14" ht="60" customHeight="1" x14ac:dyDescent="0.35">
      <c r="A58" s="11" t="s">
        <v>294</v>
      </c>
      <c r="B58" s="1" t="s">
        <v>295</v>
      </c>
      <c r="C58" s="2" t="s">
        <v>130</v>
      </c>
      <c r="D58" s="3" t="s">
        <v>243</v>
      </c>
      <c r="E58" s="4" t="s">
        <v>18</v>
      </c>
      <c r="F58" s="4" t="s">
        <v>19</v>
      </c>
      <c r="G58" s="4" t="s">
        <v>20</v>
      </c>
      <c r="H58" s="4" t="s">
        <v>21</v>
      </c>
      <c r="I58" s="5" t="s">
        <v>21</v>
      </c>
      <c r="J58" s="1" t="s">
        <v>296</v>
      </c>
      <c r="K58" s="1" t="s">
        <v>297</v>
      </c>
      <c r="L58" s="1" t="s">
        <v>298</v>
      </c>
      <c r="M58" s="4" t="str">
        <f t="shared" si="0"/>
        <v>Outstanding</v>
      </c>
      <c r="N58" s="13" t="s">
        <v>21</v>
      </c>
    </row>
    <row r="59" spans="1:14" ht="60" customHeight="1" x14ac:dyDescent="0.35">
      <c r="A59" s="11" t="s">
        <v>299</v>
      </c>
      <c r="B59" s="1" t="s">
        <v>300</v>
      </c>
      <c r="C59" s="2" t="s">
        <v>16</v>
      </c>
      <c r="D59" s="3" t="s">
        <v>243</v>
      </c>
      <c r="E59" s="4" t="s">
        <v>18</v>
      </c>
      <c r="F59" s="4" t="s">
        <v>19</v>
      </c>
      <c r="G59" s="4" t="s">
        <v>20</v>
      </c>
      <c r="H59" s="4" t="s">
        <v>21</v>
      </c>
      <c r="I59" s="5" t="s">
        <v>21</v>
      </c>
      <c r="J59" s="1" t="s">
        <v>301</v>
      </c>
      <c r="K59" s="1" t="s">
        <v>302</v>
      </c>
      <c r="L59" s="1" t="s">
        <v>303</v>
      </c>
      <c r="M59" s="4" t="str">
        <f t="shared" si="0"/>
        <v>Outstanding</v>
      </c>
      <c r="N59" s="13" t="s">
        <v>21</v>
      </c>
    </row>
    <row r="60" spans="1:14" ht="60" customHeight="1" x14ac:dyDescent="0.35">
      <c r="A60" s="11" t="s">
        <v>304</v>
      </c>
      <c r="B60" s="1" t="s">
        <v>305</v>
      </c>
      <c r="C60" s="2" t="s">
        <v>16</v>
      </c>
      <c r="D60" s="3" t="s">
        <v>243</v>
      </c>
      <c r="E60" s="4" t="s">
        <v>18</v>
      </c>
      <c r="F60" s="4" t="s">
        <v>19</v>
      </c>
      <c r="G60" s="4" t="s">
        <v>20</v>
      </c>
      <c r="H60" s="4" t="s">
        <v>21</v>
      </c>
      <c r="I60" s="5" t="s">
        <v>21</v>
      </c>
      <c r="J60" s="1" t="s">
        <v>301</v>
      </c>
      <c r="K60" s="1" t="s">
        <v>306</v>
      </c>
      <c r="L60" s="1" t="s">
        <v>303</v>
      </c>
      <c r="M60" s="4" t="str">
        <f t="shared" si="0"/>
        <v>Outstanding</v>
      </c>
      <c r="N60" s="13" t="s">
        <v>21</v>
      </c>
    </row>
    <row r="61" spans="1:14" ht="60" customHeight="1" x14ac:dyDescent="0.35">
      <c r="A61" s="11" t="s">
        <v>307</v>
      </c>
      <c r="B61" s="1" t="s">
        <v>308</v>
      </c>
      <c r="C61" s="2" t="s">
        <v>16</v>
      </c>
      <c r="D61" s="3" t="s">
        <v>243</v>
      </c>
      <c r="E61" s="4" t="s">
        <v>18</v>
      </c>
      <c r="F61" s="4" t="s">
        <v>19</v>
      </c>
      <c r="G61" s="4" t="s">
        <v>20</v>
      </c>
      <c r="H61" s="4" t="s">
        <v>21</v>
      </c>
      <c r="I61" s="5" t="s">
        <v>21</v>
      </c>
      <c r="J61" s="1" t="s">
        <v>309</v>
      </c>
      <c r="K61" s="1" t="s">
        <v>310</v>
      </c>
      <c r="L61" s="1" t="s">
        <v>311</v>
      </c>
      <c r="M61" s="4" t="str">
        <f t="shared" si="0"/>
        <v>Outstanding</v>
      </c>
      <c r="N61" s="13" t="s">
        <v>21</v>
      </c>
    </row>
    <row r="62" spans="1:14" ht="60" customHeight="1" x14ac:dyDescent="0.35">
      <c r="A62" s="11" t="s">
        <v>312</v>
      </c>
      <c r="B62" s="1" t="s">
        <v>313</v>
      </c>
      <c r="C62" s="2" t="s">
        <v>130</v>
      </c>
      <c r="D62" s="3" t="s">
        <v>243</v>
      </c>
      <c r="E62" s="4" t="s">
        <v>18</v>
      </c>
      <c r="F62" s="4" t="s">
        <v>19</v>
      </c>
      <c r="G62" s="4" t="s">
        <v>20</v>
      </c>
      <c r="H62" s="4" t="s">
        <v>21</v>
      </c>
      <c r="I62" s="5" t="s">
        <v>21</v>
      </c>
      <c r="J62" s="1" t="s">
        <v>314</v>
      </c>
      <c r="K62" s="1" t="s">
        <v>315</v>
      </c>
      <c r="L62" s="1" t="s">
        <v>290</v>
      </c>
      <c r="M62" s="4" t="str">
        <f t="shared" si="0"/>
        <v>Outstanding</v>
      </c>
      <c r="N62" s="13" t="s">
        <v>21</v>
      </c>
    </row>
    <row r="63" spans="1:14" ht="60" customHeight="1" x14ac:dyDescent="0.35">
      <c r="A63" s="11" t="s">
        <v>316</v>
      </c>
      <c r="B63" s="1" t="s">
        <v>317</v>
      </c>
      <c r="C63" s="2" t="s">
        <v>130</v>
      </c>
      <c r="D63" s="3" t="s">
        <v>243</v>
      </c>
      <c r="E63" s="4" t="s">
        <v>18</v>
      </c>
      <c r="F63" s="4" t="s">
        <v>19</v>
      </c>
      <c r="G63" s="4" t="s">
        <v>20</v>
      </c>
      <c r="H63" s="4" t="s">
        <v>21</v>
      </c>
      <c r="I63" s="5" t="s">
        <v>21</v>
      </c>
      <c r="J63" s="1" t="s">
        <v>318</v>
      </c>
      <c r="K63" s="1" t="s">
        <v>319</v>
      </c>
      <c r="L63" s="1" t="s">
        <v>320</v>
      </c>
      <c r="M63" s="4" t="str">
        <f t="shared" si="0"/>
        <v>Outstanding</v>
      </c>
      <c r="N63" s="13" t="s">
        <v>21</v>
      </c>
    </row>
    <row r="64" spans="1:14" ht="60" customHeight="1" x14ac:dyDescent="0.35">
      <c r="A64" s="11" t="s">
        <v>321</v>
      </c>
      <c r="B64" s="1" t="s">
        <v>322</v>
      </c>
      <c r="C64" s="2" t="s">
        <v>16</v>
      </c>
      <c r="D64" s="3" t="s">
        <v>243</v>
      </c>
      <c r="E64" s="4" t="s">
        <v>18</v>
      </c>
      <c r="F64" s="4" t="s">
        <v>19</v>
      </c>
      <c r="G64" s="4" t="s">
        <v>20</v>
      </c>
      <c r="H64" s="4" t="s">
        <v>21</v>
      </c>
      <c r="I64" s="5" t="s">
        <v>21</v>
      </c>
      <c r="J64" s="1" t="s">
        <v>323</v>
      </c>
      <c r="K64" s="1" t="s">
        <v>324</v>
      </c>
      <c r="L64" s="1" t="s">
        <v>325</v>
      </c>
      <c r="M64" s="4" t="str">
        <f t="shared" si="0"/>
        <v>Outstanding</v>
      </c>
      <c r="N64" s="13" t="s">
        <v>21</v>
      </c>
    </row>
    <row r="65" spans="1:14" ht="60" customHeight="1" x14ac:dyDescent="0.35">
      <c r="A65" s="11" t="s">
        <v>326</v>
      </c>
      <c r="B65" s="1" t="s">
        <v>327</v>
      </c>
      <c r="C65" s="2" t="s">
        <v>32</v>
      </c>
      <c r="D65" s="3" t="s">
        <v>243</v>
      </c>
      <c r="E65" s="4" t="s">
        <v>18</v>
      </c>
      <c r="F65" s="4" t="s">
        <v>19</v>
      </c>
      <c r="G65" s="4" t="s">
        <v>20</v>
      </c>
      <c r="H65" s="4" t="s">
        <v>21</v>
      </c>
      <c r="I65" s="5" t="s">
        <v>21</v>
      </c>
      <c r="J65" s="1" t="s">
        <v>328</v>
      </c>
      <c r="K65" s="1" t="s">
        <v>329</v>
      </c>
      <c r="L65" s="1" t="s">
        <v>330</v>
      </c>
      <c r="M65" s="4" t="str">
        <f t="shared" si="0"/>
        <v>Outstanding</v>
      </c>
      <c r="N65" s="13" t="s">
        <v>21</v>
      </c>
    </row>
    <row r="66" spans="1:14" ht="60" customHeight="1" x14ac:dyDescent="0.35">
      <c r="A66" s="11" t="s">
        <v>331</v>
      </c>
      <c r="B66" s="1" t="s">
        <v>332</v>
      </c>
      <c r="C66" s="2" t="s">
        <v>16</v>
      </c>
      <c r="D66" s="3" t="s">
        <v>243</v>
      </c>
      <c r="E66" s="4" t="s">
        <v>18</v>
      </c>
      <c r="F66" s="4" t="s">
        <v>19</v>
      </c>
      <c r="G66" s="4" t="s">
        <v>20</v>
      </c>
      <c r="H66" s="4" t="s">
        <v>21</v>
      </c>
      <c r="I66" s="5" t="s">
        <v>21</v>
      </c>
      <c r="J66" s="1" t="s">
        <v>333</v>
      </c>
      <c r="K66" s="1" t="s">
        <v>334</v>
      </c>
      <c r="L66" s="1" t="s">
        <v>335</v>
      </c>
      <c r="M66" s="4" t="str">
        <f t="shared" si="0"/>
        <v>Outstanding</v>
      </c>
      <c r="N66" s="13" t="s">
        <v>21</v>
      </c>
    </row>
    <row r="67" spans="1:14" ht="60" customHeight="1" x14ac:dyDescent="0.35">
      <c r="A67" s="11" t="s">
        <v>336</v>
      </c>
      <c r="B67" s="1" t="s">
        <v>337</v>
      </c>
      <c r="C67" s="2" t="s">
        <v>16</v>
      </c>
      <c r="D67" s="3" t="s">
        <v>243</v>
      </c>
      <c r="E67" s="4" t="s">
        <v>18</v>
      </c>
      <c r="F67" s="4" t="s">
        <v>19</v>
      </c>
      <c r="G67" s="4" t="s">
        <v>20</v>
      </c>
      <c r="H67" s="4" t="s">
        <v>21</v>
      </c>
      <c r="I67" s="5" t="s">
        <v>21</v>
      </c>
      <c r="J67" s="1" t="s">
        <v>338</v>
      </c>
      <c r="K67" s="1" t="s">
        <v>339</v>
      </c>
      <c r="L67" s="1" t="s">
        <v>340</v>
      </c>
      <c r="M67" s="4" t="str">
        <f t="shared" si="0"/>
        <v>Outstanding</v>
      </c>
      <c r="N67" s="13" t="s">
        <v>21</v>
      </c>
    </row>
    <row r="68" spans="1:14" ht="60" customHeight="1" x14ac:dyDescent="0.35">
      <c r="A68" s="11" t="s">
        <v>341</v>
      </c>
      <c r="B68" s="1" t="s">
        <v>342</v>
      </c>
      <c r="C68" s="2" t="s">
        <v>16</v>
      </c>
      <c r="D68" s="3" t="s">
        <v>243</v>
      </c>
      <c r="E68" s="4" t="s">
        <v>18</v>
      </c>
      <c r="F68" s="4" t="s">
        <v>19</v>
      </c>
      <c r="G68" s="4" t="s">
        <v>20</v>
      </c>
      <c r="H68" s="4" t="s">
        <v>21</v>
      </c>
      <c r="I68" s="5" t="s">
        <v>21</v>
      </c>
      <c r="J68" s="1" t="s">
        <v>343</v>
      </c>
      <c r="K68" s="1" t="s">
        <v>344</v>
      </c>
      <c r="L68" s="1" t="s">
        <v>345</v>
      </c>
      <c r="M68" s="4" t="str">
        <f t="shared" si="0"/>
        <v>Outstanding</v>
      </c>
      <c r="N68" s="13" t="s">
        <v>21</v>
      </c>
    </row>
    <row r="69" spans="1:14" ht="60" customHeight="1" x14ac:dyDescent="0.35">
      <c r="A69" s="12" t="s">
        <v>346</v>
      </c>
      <c r="B69" s="6" t="s">
        <v>347</v>
      </c>
      <c r="C69" s="7" t="s">
        <v>16</v>
      </c>
      <c r="D69" s="8" t="s">
        <v>243</v>
      </c>
      <c r="E69" s="9" t="s">
        <v>18</v>
      </c>
      <c r="F69" s="9" t="s">
        <v>19</v>
      </c>
      <c r="G69" s="9" t="s">
        <v>20</v>
      </c>
      <c r="H69" s="9" t="s">
        <v>21</v>
      </c>
      <c r="I69" s="10" t="s">
        <v>21</v>
      </c>
      <c r="J69" s="6" t="s">
        <v>348</v>
      </c>
      <c r="K69" s="6" t="s">
        <v>349</v>
      </c>
      <c r="L69" s="6" t="s">
        <v>350</v>
      </c>
      <c r="M69" s="9" t="str">
        <f t="shared" si="0"/>
        <v>Outstanding</v>
      </c>
      <c r="N69" s="14" t="s">
        <v>21</v>
      </c>
    </row>
    <row r="73" spans="1:14" ht="32" customHeight="1" x14ac:dyDescent="0.35">
      <c r="A73" s="291" t="s">
        <v>351</v>
      </c>
      <c r="B73" s="291"/>
      <c r="C73" s="291"/>
      <c r="D73" s="291"/>
    </row>
  </sheetData>
  <mergeCells count="1">
    <mergeCell ref="A73:D73"/>
  </mergeCells>
  <conditionalFormatting sqref="C2:C69">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6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6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6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69" xr:uid="{00000000-0002-0000-0200-000000000000}">
      <formula1>"Must,Should,Could,Won't,Unassigned"</formula1>
    </dataValidation>
    <dataValidation type="list" showErrorMessage="1" errorTitle="Invalid Value" error="Please select a value from the list: Low, Medium, High, Unassessed." sqref="F2:F69" xr:uid="{00000000-0002-0000-0200-000001000000}">
      <formula1>"Low,Medium,High,Unassessed"</formula1>
    </dataValidation>
    <dataValidation type="list" showErrorMessage="1" errorTitle="Invalid Value" error="Please select a value from the list: Phase1, Phase2, Phase3, Phase4, Phase5, Pending." sqref="G2:G6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9" xr:uid="{00000000-0002-0000-0200-000003000000}">
      <formula1>"Implemented,Testing,Failed,Compensated,Risk Accepted,N/A"</formula1>
    </dataValidation>
  </dataValidations>
  <hyperlinks>
    <hyperlink ref="A7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509</v>
      </c>
      <c r="C2" s="308" t="s">
        <v>509</v>
      </c>
      <c r="D2" s="308" t="s">
        <v>509</v>
      </c>
      <c r="E2" s="308" t="s">
        <v>509</v>
      </c>
      <c r="F2" s="308" t="s">
        <v>509</v>
      </c>
      <c r="G2" s="308" t="s">
        <v>509</v>
      </c>
      <c r="H2" s="312" t="s">
        <v>510</v>
      </c>
      <c r="I2" s="312" t="s">
        <v>510</v>
      </c>
      <c r="J2" s="312" t="s">
        <v>510</v>
      </c>
      <c r="K2" s="312" t="s">
        <v>510</v>
      </c>
      <c r="L2" s="312" t="s">
        <v>510</v>
      </c>
      <c r="M2" s="311" t="s">
        <v>511</v>
      </c>
      <c r="N2" s="311" t="s">
        <v>511</v>
      </c>
      <c r="O2" s="313" t="s">
        <v>512</v>
      </c>
      <c r="P2" s="313" t="s">
        <v>512</v>
      </c>
      <c r="Q2" s="309" t="s">
        <v>12</v>
      </c>
      <c r="R2" s="309" t="s">
        <v>12</v>
      </c>
      <c r="S2" s="309" t="s">
        <v>12</v>
      </c>
      <c r="T2" s="310" t="s">
        <v>513</v>
      </c>
    </row>
    <row r="3" spans="2:20" ht="35" customHeight="1" x14ac:dyDescent="0.35">
      <c r="B3" s="73" t="s">
        <v>514</v>
      </c>
      <c r="C3" s="73" t="s">
        <v>515</v>
      </c>
      <c r="D3" s="73" t="s">
        <v>516</v>
      </c>
      <c r="E3" s="73" t="s">
        <v>517</v>
      </c>
      <c r="F3" s="73" t="s">
        <v>518</v>
      </c>
      <c r="G3" s="73" t="s">
        <v>10</v>
      </c>
      <c r="H3" s="74" t="s">
        <v>519</v>
      </c>
      <c r="I3" s="74" t="s">
        <v>520</v>
      </c>
      <c r="J3" s="74" t="s">
        <v>521</v>
      </c>
      <c r="K3" s="74" t="s">
        <v>522</v>
      </c>
      <c r="L3" s="74" t="s">
        <v>453</v>
      </c>
      <c r="M3" s="75" t="s">
        <v>523</v>
      </c>
      <c r="N3" s="75" t="s">
        <v>524</v>
      </c>
      <c r="O3" s="76" t="s">
        <v>525</v>
      </c>
      <c r="P3" s="76" t="s">
        <v>526</v>
      </c>
      <c r="Q3" s="77" t="s">
        <v>12</v>
      </c>
      <c r="R3" s="77" t="s">
        <v>527</v>
      </c>
      <c r="S3" s="77" t="s">
        <v>528</v>
      </c>
      <c r="T3" s="78" t="s">
        <v>529</v>
      </c>
    </row>
    <row r="4" spans="2:20" ht="60" customHeight="1" x14ac:dyDescent="0.35">
      <c r="B4" s="79" t="s">
        <v>530</v>
      </c>
      <c r="C4" s="79" t="s">
        <v>531</v>
      </c>
      <c r="D4" s="79" t="s">
        <v>532</v>
      </c>
      <c r="E4" s="79" t="s">
        <v>533</v>
      </c>
      <c r="F4" s="79" t="s">
        <v>534</v>
      </c>
      <c r="G4" s="79" t="s">
        <v>535</v>
      </c>
      <c r="H4" s="79" t="s">
        <v>536</v>
      </c>
      <c r="I4" s="79" t="s">
        <v>537</v>
      </c>
      <c r="J4" s="79" t="s">
        <v>538</v>
      </c>
      <c r="K4" s="79" t="s">
        <v>539</v>
      </c>
      <c r="L4" s="79" t="s">
        <v>540</v>
      </c>
      <c r="M4" s="79" t="s">
        <v>541</v>
      </c>
      <c r="N4" s="79" t="s">
        <v>542</v>
      </c>
      <c r="O4" s="79" t="s">
        <v>543</v>
      </c>
      <c r="P4" s="79" t="s">
        <v>544</v>
      </c>
      <c r="Q4" s="79" t="s">
        <v>545</v>
      </c>
      <c r="R4" s="79" t="s">
        <v>546</v>
      </c>
      <c r="S4" s="79" t="s">
        <v>547</v>
      </c>
      <c r="T4" s="79" t="s">
        <v>548</v>
      </c>
    </row>
    <row r="5" spans="2:20" ht="60" customHeight="1" x14ac:dyDescent="0.35">
      <c r="B5" s="41" t="s">
        <v>549</v>
      </c>
      <c r="C5" s="80"/>
      <c r="D5" s="81"/>
      <c r="E5" s="81" t="s">
        <v>21</v>
      </c>
      <c r="F5" s="81" t="str">
        <f>IF(E5&lt;&gt;"", IFERROR(VLOOKUP(E5, Dashboard!$B54:$F59, 5, FALSE), ""), "")</f>
        <v/>
      </c>
      <c r="G5" s="82"/>
      <c r="H5" s="69"/>
      <c r="I5" s="69"/>
      <c r="J5" s="82"/>
      <c r="K5" s="82"/>
      <c r="L5" s="43"/>
      <c r="M5" s="43"/>
      <c r="N5" s="82"/>
      <c r="O5" s="82"/>
      <c r="P5" s="43"/>
      <c r="Q5" s="43" t="s">
        <v>21</v>
      </c>
      <c r="R5" s="82"/>
      <c r="S5" s="69"/>
      <c r="T5" s="82"/>
    </row>
    <row r="6" spans="2:20" ht="60" customHeight="1" x14ac:dyDescent="0.35">
      <c r="B6" s="41" t="s">
        <v>550</v>
      </c>
      <c r="C6" s="80"/>
      <c r="D6" s="81"/>
      <c r="E6" s="81" t="s">
        <v>21</v>
      </c>
      <c r="F6" s="81" t="str">
        <f>IF(E6&lt;&gt;"", IFERROR(VLOOKUP(E6, Dashboard!$B54:$F59, 5, FALSE), ""), "")</f>
        <v/>
      </c>
      <c r="G6" s="82"/>
      <c r="H6" s="69"/>
      <c r="I6" s="69"/>
      <c r="J6" s="82"/>
      <c r="K6" s="82"/>
      <c r="L6" s="43"/>
      <c r="M6" s="43"/>
      <c r="N6" s="82"/>
      <c r="O6" s="82"/>
      <c r="P6" s="43"/>
      <c r="Q6" s="43" t="s">
        <v>21</v>
      </c>
      <c r="R6" s="82"/>
      <c r="S6" s="69"/>
      <c r="T6" s="82"/>
    </row>
    <row r="7" spans="2:20" ht="60" customHeight="1" x14ac:dyDescent="0.35">
      <c r="B7" s="41" t="s">
        <v>551</v>
      </c>
      <c r="C7" s="80"/>
      <c r="D7" s="81"/>
      <c r="E7" s="81" t="s">
        <v>21</v>
      </c>
      <c r="F7" s="81" t="str">
        <f>IF(E7&lt;&gt;"", IFERROR(VLOOKUP(E7, Dashboard!$B54:$F59, 5, FALSE), ""), "")</f>
        <v/>
      </c>
      <c r="G7" s="82"/>
      <c r="H7" s="69"/>
      <c r="I7" s="69"/>
      <c r="J7" s="82"/>
      <c r="K7" s="82"/>
      <c r="L7" s="43"/>
      <c r="M7" s="43"/>
      <c r="N7" s="82"/>
      <c r="O7" s="82"/>
      <c r="P7" s="43"/>
      <c r="Q7" s="43" t="s">
        <v>21</v>
      </c>
      <c r="R7" s="82"/>
      <c r="S7" s="69"/>
      <c r="T7" s="82"/>
    </row>
    <row r="8" spans="2:20" ht="60" customHeight="1" x14ac:dyDescent="0.35">
      <c r="B8" s="41" t="s">
        <v>552</v>
      </c>
      <c r="C8" s="80"/>
      <c r="D8" s="81"/>
      <c r="E8" s="81" t="s">
        <v>21</v>
      </c>
      <c r="F8" s="81" t="str">
        <f>IF(E8&lt;&gt;"", IFERROR(VLOOKUP(E8, Dashboard!$B54:$F59, 5, FALSE), ""), "")</f>
        <v/>
      </c>
      <c r="G8" s="82"/>
      <c r="H8" s="69"/>
      <c r="I8" s="69"/>
      <c r="J8" s="82"/>
      <c r="K8" s="82"/>
      <c r="L8" s="43"/>
      <c r="M8" s="43"/>
      <c r="N8" s="82"/>
      <c r="O8" s="82"/>
      <c r="P8" s="43"/>
      <c r="Q8" s="43" t="s">
        <v>21</v>
      </c>
      <c r="R8" s="82"/>
      <c r="S8" s="69"/>
      <c r="T8" s="82"/>
    </row>
    <row r="9" spans="2:20" ht="60" customHeight="1" x14ac:dyDescent="0.35">
      <c r="B9" s="41" t="s">
        <v>553</v>
      </c>
      <c r="C9" s="80"/>
      <c r="D9" s="81"/>
      <c r="E9" s="81" t="s">
        <v>21</v>
      </c>
      <c r="F9" s="81" t="str">
        <f>IF(E9&lt;&gt;"", IFERROR(VLOOKUP(E9, Dashboard!$B54:$F59, 5, FALSE), ""), "")</f>
        <v/>
      </c>
      <c r="G9" s="82"/>
      <c r="H9" s="69"/>
      <c r="I9" s="69"/>
      <c r="J9" s="82"/>
      <c r="K9" s="82"/>
      <c r="L9" s="43"/>
      <c r="M9" s="43"/>
      <c r="N9" s="82"/>
      <c r="O9" s="82"/>
      <c r="P9" s="43"/>
      <c r="Q9" s="43" t="s">
        <v>21</v>
      </c>
      <c r="R9" s="82"/>
      <c r="S9" s="69"/>
      <c r="T9" s="82"/>
    </row>
    <row r="10" spans="2:20" ht="60" customHeight="1" x14ac:dyDescent="0.35">
      <c r="B10" s="41" t="s">
        <v>554</v>
      </c>
      <c r="C10" s="80"/>
      <c r="D10" s="81"/>
      <c r="E10" s="81" t="s">
        <v>21</v>
      </c>
      <c r="F10" s="81" t="str">
        <f>IF(E10&lt;&gt;"", IFERROR(VLOOKUP(E10, Dashboard!$B54:$F59, 5, FALSE), ""), "")</f>
        <v/>
      </c>
      <c r="G10" s="82"/>
      <c r="H10" s="69"/>
      <c r="I10" s="69"/>
      <c r="J10" s="82"/>
      <c r="K10" s="82"/>
      <c r="L10" s="43"/>
      <c r="M10" s="43"/>
      <c r="N10" s="82"/>
      <c r="O10" s="82"/>
      <c r="P10" s="43"/>
      <c r="Q10" s="43" t="s">
        <v>21</v>
      </c>
      <c r="R10" s="82"/>
      <c r="S10" s="69"/>
      <c r="T10" s="82"/>
    </row>
    <row r="11" spans="2:20" ht="60" customHeight="1" x14ac:dyDescent="0.35">
      <c r="B11" s="41" t="s">
        <v>555</v>
      </c>
      <c r="C11" s="80"/>
      <c r="D11" s="81"/>
      <c r="E11" s="81" t="s">
        <v>21</v>
      </c>
      <c r="F11" s="81" t="str">
        <f>IF(E11&lt;&gt;"", IFERROR(VLOOKUP(E11, Dashboard!$B54:$F59, 5, FALSE), ""), "")</f>
        <v/>
      </c>
      <c r="G11" s="82"/>
      <c r="H11" s="69"/>
      <c r="I11" s="69"/>
      <c r="J11" s="82"/>
      <c r="K11" s="82"/>
      <c r="L11" s="43"/>
      <c r="M11" s="43"/>
      <c r="N11" s="82"/>
      <c r="O11" s="82"/>
      <c r="P11" s="43"/>
      <c r="Q11" s="43" t="s">
        <v>21</v>
      </c>
      <c r="R11" s="82"/>
      <c r="S11" s="69"/>
      <c r="T11" s="82"/>
    </row>
    <row r="12" spans="2:20" ht="60" customHeight="1" x14ac:dyDescent="0.35">
      <c r="B12" s="41" t="s">
        <v>556</v>
      </c>
      <c r="C12" s="80"/>
      <c r="D12" s="81"/>
      <c r="E12" s="81" t="s">
        <v>21</v>
      </c>
      <c r="F12" s="81" t="str">
        <f>IF(E12&lt;&gt;"", IFERROR(VLOOKUP(E12, Dashboard!$B54:$F59, 5, FALSE), ""), "")</f>
        <v/>
      </c>
      <c r="G12" s="82"/>
      <c r="H12" s="69"/>
      <c r="I12" s="69"/>
      <c r="J12" s="82"/>
      <c r="K12" s="82"/>
      <c r="L12" s="43"/>
      <c r="M12" s="43"/>
      <c r="N12" s="82"/>
      <c r="O12" s="82"/>
      <c r="P12" s="43"/>
      <c r="Q12" s="43" t="s">
        <v>21</v>
      </c>
      <c r="R12" s="82"/>
      <c r="S12" s="69"/>
      <c r="T12" s="82"/>
    </row>
    <row r="13" spans="2:20" ht="60" customHeight="1" x14ac:dyDescent="0.35">
      <c r="B13" s="41" t="s">
        <v>557</v>
      </c>
      <c r="C13" s="80"/>
      <c r="D13" s="81"/>
      <c r="E13" s="81" t="s">
        <v>21</v>
      </c>
      <c r="F13" s="81" t="str">
        <f>IF(E13&lt;&gt;"", IFERROR(VLOOKUP(E13, Dashboard!$B54:$F59, 5, FALSE), ""), "")</f>
        <v/>
      </c>
      <c r="G13" s="82"/>
      <c r="H13" s="69"/>
      <c r="I13" s="69"/>
      <c r="J13" s="82"/>
      <c r="K13" s="82"/>
      <c r="L13" s="43"/>
      <c r="M13" s="43"/>
      <c r="N13" s="82"/>
      <c r="O13" s="82"/>
      <c r="P13" s="43"/>
      <c r="Q13" s="43" t="s">
        <v>21</v>
      </c>
      <c r="R13" s="82"/>
      <c r="S13" s="69"/>
      <c r="T13" s="82"/>
    </row>
    <row r="14" spans="2:20" ht="60" customHeight="1" x14ac:dyDescent="0.35">
      <c r="B14" s="41" t="s">
        <v>558</v>
      </c>
      <c r="C14" s="80"/>
      <c r="D14" s="81"/>
      <c r="E14" s="81" t="s">
        <v>21</v>
      </c>
      <c r="F14" s="81" t="str">
        <f>IF(E14&lt;&gt;"", IFERROR(VLOOKUP(E14, Dashboard!$B54:$F59, 5, FALSE), ""), "")</f>
        <v/>
      </c>
      <c r="G14" s="82"/>
      <c r="H14" s="69"/>
      <c r="I14" s="69"/>
      <c r="J14" s="82"/>
      <c r="K14" s="82"/>
      <c r="L14" s="43"/>
      <c r="M14" s="43"/>
      <c r="N14" s="82"/>
      <c r="O14" s="82"/>
      <c r="P14" s="43"/>
      <c r="Q14" s="43" t="s">
        <v>21</v>
      </c>
      <c r="R14" s="82"/>
      <c r="S14" s="69"/>
      <c r="T14" s="82"/>
    </row>
    <row r="15" spans="2:20" ht="60" customHeight="1" x14ac:dyDescent="0.35">
      <c r="B15" s="41" t="s">
        <v>559</v>
      </c>
      <c r="C15" s="80"/>
      <c r="D15" s="81"/>
      <c r="E15" s="81" t="s">
        <v>21</v>
      </c>
      <c r="F15" s="81" t="str">
        <f>IF(E15&lt;&gt;"", IFERROR(VLOOKUP(E15, Dashboard!$B54:$F59, 5, FALSE), ""), "")</f>
        <v/>
      </c>
      <c r="G15" s="82"/>
      <c r="H15" s="69"/>
      <c r="I15" s="69"/>
      <c r="J15" s="82"/>
      <c r="K15" s="82"/>
      <c r="L15" s="43"/>
      <c r="M15" s="43"/>
      <c r="N15" s="82"/>
      <c r="O15" s="82"/>
      <c r="P15" s="43"/>
      <c r="Q15" s="43" t="s">
        <v>21</v>
      </c>
      <c r="R15" s="82"/>
      <c r="S15" s="69"/>
      <c r="T15" s="82"/>
    </row>
    <row r="16" spans="2:20" ht="60" customHeight="1" x14ac:dyDescent="0.35">
      <c r="B16" s="41" t="s">
        <v>560</v>
      </c>
      <c r="C16" s="80"/>
      <c r="D16" s="81"/>
      <c r="E16" s="81" t="s">
        <v>21</v>
      </c>
      <c r="F16" s="81" t="str">
        <f>IF(E16&lt;&gt;"", IFERROR(VLOOKUP(E16, Dashboard!$B54:$F59, 5, FALSE), ""), "")</f>
        <v/>
      </c>
      <c r="G16" s="82"/>
      <c r="H16" s="69"/>
      <c r="I16" s="69"/>
      <c r="J16" s="82"/>
      <c r="K16" s="82"/>
      <c r="L16" s="43"/>
      <c r="M16" s="43"/>
      <c r="N16" s="82"/>
      <c r="O16" s="82"/>
      <c r="P16" s="43"/>
      <c r="Q16" s="43" t="s">
        <v>21</v>
      </c>
      <c r="R16" s="82"/>
      <c r="S16" s="69"/>
      <c r="T16" s="82"/>
    </row>
    <row r="17" spans="2:20" ht="60" customHeight="1" x14ac:dyDescent="0.35">
      <c r="B17" s="41" t="s">
        <v>561</v>
      </c>
      <c r="C17" s="80"/>
      <c r="D17" s="81"/>
      <c r="E17" s="81" t="s">
        <v>21</v>
      </c>
      <c r="F17" s="81" t="str">
        <f>IF(E17&lt;&gt;"", IFERROR(VLOOKUP(E17, Dashboard!$B54:$F59, 5, FALSE), ""), "")</f>
        <v/>
      </c>
      <c r="G17" s="82"/>
      <c r="H17" s="69"/>
      <c r="I17" s="69"/>
      <c r="J17" s="82"/>
      <c r="K17" s="82"/>
      <c r="L17" s="43"/>
      <c r="M17" s="43"/>
      <c r="N17" s="82"/>
      <c r="O17" s="82"/>
      <c r="P17" s="43"/>
      <c r="Q17" s="43" t="s">
        <v>21</v>
      </c>
      <c r="R17" s="82"/>
      <c r="S17" s="69"/>
      <c r="T17" s="82"/>
    </row>
    <row r="18" spans="2:20" ht="60" customHeight="1" x14ac:dyDescent="0.35">
      <c r="B18" s="41" t="s">
        <v>562</v>
      </c>
      <c r="C18" s="80"/>
      <c r="D18" s="81"/>
      <c r="E18" s="81" t="s">
        <v>21</v>
      </c>
      <c r="F18" s="81" t="str">
        <f>IF(E18&lt;&gt;"", IFERROR(VLOOKUP(E18, Dashboard!$B54:$F59, 5, FALSE), ""), "")</f>
        <v/>
      </c>
      <c r="G18" s="82"/>
      <c r="H18" s="69"/>
      <c r="I18" s="69"/>
      <c r="J18" s="82"/>
      <c r="K18" s="82"/>
      <c r="L18" s="43"/>
      <c r="M18" s="43"/>
      <c r="N18" s="82"/>
      <c r="O18" s="82"/>
      <c r="P18" s="43"/>
      <c r="Q18" s="43" t="s">
        <v>21</v>
      </c>
      <c r="R18" s="82"/>
      <c r="S18" s="69"/>
      <c r="T18" s="82"/>
    </row>
    <row r="19" spans="2:20" ht="60" customHeight="1" x14ac:dyDescent="0.35">
      <c r="B19" s="41" t="s">
        <v>563</v>
      </c>
      <c r="C19" s="80"/>
      <c r="D19" s="81"/>
      <c r="E19" s="81" t="s">
        <v>21</v>
      </c>
      <c r="F19" s="81" t="str">
        <f>IF(E19&lt;&gt;"", IFERROR(VLOOKUP(E19, Dashboard!$B54:$F59, 5, FALSE), ""), "")</f>
        <v/>
      </c>
      <c r="G19" s="82"/>
      <c r="H19" s="69"/>
      <c r="I19" s="69"/>
      <c r="J19" s="82"/>
      <c r="K19" s="82"/>
      <c r="L19" s="43"/>
      <c r="M19" s="43"/>
      <c r="N19" s="82"/>
      <c r="O19" s="82"/>
      <c r="P19" s="43"/>
      <c r="Q19" s="43" t="s">
        <v>21</v>
      </c>
      <c r="R19" s="82"/>
      <c r="S19" s="69"/>
      <c r="T19" s="82"/>
    </row>
    <row r="20" spans="2:20" ht="60" customHeight="1" x14ac:dyDescent="0.35">
      <c r="B20" s="41" t="s">
        <v>564</v>
      </c>
      <c r="C20" s="80"/>
      <c r="D20" s="81"/>
      <c r="E20" s="81" t="s">
        <v>21</v>
      </c>
      <c r="F20" s="81" t="str">
        <f>IF(E20&lt;&gt;"", IFERROR(VLOOKUP(E20, Dashboard!$B54:$F59, 5, FALSE), ""), "")</f>
        <v/>
      </c>
      <c r="G20" s="82"/>
      <c r="H20" s="69"/>
      <c r="I20" s="69"/>
      <c r="J20" s="82"/>
      <c r="K20" s="82"/>
      <c r="L20" s="43"/>
      <c r="M20" s="43"/>
      <c r="N20" s="82"/>
      <c r="O20" s="82"/>
      <c r="P20" s="43"/>
      <c r="Q20" s="43" t="s">
        <v>21</v>
      </c>
      <c r="R20" s="82"/>
      <c r="S20" s="69"/>
      <c r="T20" s="82"/>
    </row>
    <row r="21" spans="2:20" ht="60" customHeight="1" x14ac:dyDescent="0.35">
      <c r="B21" s="41" t="s">
        <v>565</v>
      </c>
      <c r="C21" s="80"/>
      <c r="D21" s="81"/>
      <c r="E21" s="81" t="s">
        <v>21</v>
      </c>
      <c r="F21" s="81" t="str">
        <f>IF(E21&lt;&gt;"", IFERROR(VLOOKUP(E21, Dashboard!$B54:$F59, 5, FALSE), ""), "")</f>
        <v/>
      </c>
      <c r="G21" s="82"/>
      <c r="H21" s="69"/>
      <c r="I21" s="69"/>
      <c r="J21" s="82"/>
      <c r="K21" s="82"/>
      <c r="L21" s="43"/>
      <c r="M21" s="43"/>
      <c r="N21" s="82"/>
      <c r="O21" s="82"/>
      <c r="P21" s="43"/>
      <c r="Q21" s="43" t="s">
        <v>21</v>
      </c>
      <c r="R21" s="82"/>
      <c r="S21" s="69"/>
      <c r="T21" s="82"/>
    </row>
    <row r="22" spans="2:20" ht="60" customHeight="1" x14ac:dyDescent="0.35">
      <c r="B22" s="41" t="s">
        <v>566</v>
      </c>
      <c r="C22" s="80"/>
      <c r="D22" s="81"/>
      <c r="E22" s="81" t="s">
        <v>21</v>
      </c>
      <c r="F22" s="81" t="str">
        <f>IF(E22&lt;&gt;"", IFERROR(VLOOKUP(E22, Dashboard!$B54:$F59, 5, FALSE), ""), "")</f>
        <v/>
      </c>
      <c r="G22" s="82"/>
      <c r="H22" s="69"/>
      <c r="I22" s="69"/>
      <c r="J22" s="82"/>
      <c r="K22" s="82"/>
      <c r="L22" s="43"/>
      <c r="M22" s="43"/>
      <c r="N22" s="82"/>
      <c r="O22" s="82"/>
      <c r="P22" s="43"/>
      <c r="Q22" s="43" t="s">
        <v>21</v>
      </c>
      <c r="R22" s="82"/>
      <c r="S22" s="69"/>
      <c r="T22" s="82"/>
    </row>
    <row r="23" spans="2:20" ht="60" customHeight="1" x14ac:dyDescent="0.35">
      <c r="B23" s="41" t="s">
        <v>567</v>
      </c>
      <c r="C23" s="80"/>
      <c r="D23" s="81"/>
      <c r="E23" s="81" t="s">
        <v>21</v>
      </c>
      <c r="F23" s="81" t="str">
        <f>IF(E23&lt;&gt;"", IFERROR(VLOOKUP(E23, Dashboard!$B54:$F59, 5, FALSE), ""), "")</f>
        <v/>
      </c>
      <c r="G23" s="82"/>
      <c r="H23" s="69"/>
      <c r="I23" s="69"/>
      <c r="J23" s="82"/>
      <c r="K23" s="82"/>
      <c r="L23" s="43"/>
      <c r="M23" s="43"/>
      <c r="N23" s="82"/>
      <c r="O23" s="82"/>
      <c r="P23" s="43"/>
      <c r="Q23" s="43" t="s">
        <v>21</v>
      </c>
      <c r="R23" s="82"/>
      <c r="S23" s="69"/>
      <c r="T23" s="82"/>
    </row>
    <row r="24" spans="2:20" ht="60" customHeight="1" x14ac:dyDescent="0.35">
      <c r="B24" s="41" t="s">
        <v>568</v>
      </c>
      <c r="C24" s="80"/>
      <c r="D24" s="81"/>
      <c r="E24" s="81" t="s">
        <v>21</v>
      </c>
      <c r="F24" s="81" t="str">
        <f>IF(E24&lt;&gt;"", IFERROR(VLOOKUP(E24, Dashboard!$B54:$F59, 5, FALSE), ""), "")</f>
        <v/>
      </c>
      <c r="G24" s="82"/>
      <c r="H24" s="69"/>
      <c r="I24" s="69"/>
      <c r="J24" s="82"/>
      <c r="K24" s="82"/>
      <c r="L24" s="43"/>
      <c r="M24" s="43"/>
      <c r="N24" s="82"/>
      <c r="O24" s="82"/>
      <c r="P24" s="43"/>
      <c r="Q24" s="43" t="s">
        <v>21</v>
      </c>
      <c r="R24" s="82"/>
      <c r="S24" s="69"/>
      <c r="T24" s="82"/>
    </row>
    <row r="25" spans="2:20" ht="60" customHeight="1" x14ac:dyDescent="0.35">
      <c r="B25" s="41" t="s">
        <v>569</v>
      </c>
      <c r="C25" s="80"/>
      <c r="D25" s="81"/>
      <c r="E25" s="81" t="s">
        <v>21</v>
      </c>
      <c r="F25" s="81" t="str">
        <f>IF(E25&lt;&gt;"", IFERROR(VLOOKUP(E25, Dashboard!$B54:$F59, 5, FALSE), ""), "")</f>
        <v/>
      </c>
      <c r="G25" s="82"/>
      <c r="H25" s="69"/>
      <c r="I25" s="69"/>
      <c r="J25" s="82"/>
      <c r="K25" s="82"/>
      <c r="L25" s="43"/>
      <c r="M25" s="43"/>
      <c r="N25" s="82"/>
      <c r="O25" s="82"/>
      <c r="P25" s="43"/>
      <c r="Q25" s="43" t="s">
        <v>21</v>
      </c>
      <c r="R25" s="82"/>
      <c r="S25" s="69"/>
      <c r="T25" s="82"/>
    </row>
    <row r="26" spans="2:20" ht="60" customHeight="1" x14ac:dyDescent="0.35">
      <c r="B26" s="41" t="s">
        <v>570</v>
      </c>
      <c r="C26" s="80"/>
      <c r="D26" s="81"/>
      <c r="E26" s="81" t="s">
        <v>21</v>
      </c>
      <c r="F26" s="81" t="str">
        <f>IF(E26&lt;&gt;"", IFERROR(VLOOKUP(E26, Dashboard!$B54:$F59, 5, FALSE), ""), "")</f>
        <v/>
      </c>
      <c r="G26" s="82"/>
      <c r="H26" s="69"/>
      <c r="I26" s="69"/>
      <c r="J26" s="82"/>
      <c r="K26" s="82"/>
      <c r="L26" s="43"/>
      <c r="M26" s="43"/>
      <c r="N26" s="82"/>
      <c r="O26" s="82"/>
      <c r="P26" s="43"/>
      <c r="Q26" s="43" t="s">
        <v>21</v>
      </c>
      <c r="R26" s="82"/>
      <c r="S26" s="69"/>
      <c r="T26" s="82"/>
    </row>
    <row r="27" spans="2:20" ht="60" customHeight="1" x14ac:dyDescent="0.35">
      <c r="B27" s="41" t="s">
        <v>571</v>
      </c>
      <c r="C27" s="80"/>
      <c r="D27" s="81"/>
      <c r="E27" s="81" t="s">
        <v>21</v>
      </c>
      <c r="F27" s="81" t="str">
        <f>IF(E27&lt;&gt;"", IFERROR(VLOOKUP(E27, Dashboard!$B54:$F59, 5, FALSE), ""), "")</f>
        <v/>
      </c>
      <c r="G27" s="82"/>
      <c r="H27" s="69"/>
      <c r="I27" s="69"/>
      <c r="J27" s="82"/>
      <c r="K27" s="82"/>
      <c r="L27" s="43"/>
      <c r="M27" s="43"/>
      <c r="N27" s="82"/>
      <c r="O27" s="82"/>
      <c r="P27" s="43"/>
      <c r="Q27" s="43" t="s">
        <v>21</v>
      </c>
      <c r="R27" s="82"/>
      <c r="S27" s="69"/>
      <c r="T27" s="82"/>
    </row>
    <row r="28" spans="2:20" ht="60" customHeight="1" x14ac:dyDescent="0.35">
      <c r="B28" s="41" t="s">
        <v>572</v>
      </c>
      <c r="C28" s="80"/>
      <c r="D28" s="81"/>
      <c r="E28" s="81" t="s">
        <v>21</v>
      </c>
      <c r="F28" s="81" t="str">
        <f>IF(E28&lt;&gt;"", IFERROR(VLOOKUP(E28, Dashboard!$B54:$F59, 5, FALSE), ""), "")</f>
        <v/>
      </c>
      <c r="G28" s="82"/>
      <c r="H28" s="69"/>
      <c r="I28" s="69"/>
      <c r="J28" s="82"/>
      <c r="K28" s="82"/>
      <c r="L28" s="43"/>
      <c r="M28" s="43"/>
      <c r="N28" s="82"/>
      <c r="O28" s="82"/>
      <c r="P28" s="43"/>
      <c r="Q28" s="43" t="s">
        <v>21</v>
      </c>
      <c r="R28" s="82"/>
      <c r="S28" s="69"/>
      <c r="T28" s="82"/>
    </row>
    <row r="29" spans="2:20" ht="60" customHeight="1" x14ac:dyDescent="0.35">
      <c r="B29" s="41" t="s">
        <v>573</v>
      </c>
      <c r="C29" s="80"/>
      <c r="D29" s="81"/>
      <c r="E29" s="81" t="s">
        <v>21</v>
      </c>
      <c r="F29" s="81" t="str">
        <f>IF(E29&lt;&gt;"", IFERROR(VLOOKUP(E29, Dashboard!$B54:$F59, 5, FALSE), ""), "")</f>
        <v/>
      </c>
      <c r="G29" s="82"/>
      <c r="H29" s="69"/>
      <c r="I29" s="69"/>
      <c r="J29" s="82"/>
      <c r="K29" s="82"/>
      <c r="L29" s="43"/>
      <c r="M29" s="43"/>
      <c r="N29" s="82"/>
      <c r="O29" s="82"/>
      <c r="P29" s="43"/>
      <c r="Q29" s="43" t="s">
        <v>21</v>
      </c>
      <c r="R29" s="82"/>
      <c r="S29" s="69"/>
      <c r="T29" s="82"/>
    </row>
    <row r="30" spans="2:20" ht="60" customHeight="1" x14ac:dyDescent="0.35">
      <c r="B30" s="41" t="s">
        <v>574</v>
      </c>
      <c r="C30" s="80"/>
      <c r="D30" s="81"/>
      <c r="E30" s="81" t="s">
        <v>21</v>
      </c>
      <c r="F30" s="81" t="str">
        <f>IF(E30&lt;&gt;"", IFERROR(VLOOKUP(E30, Dashboard!$B54:$F59, 5, FALSE), ""), "")</f>
        <v/>
      </c>
      <c r="G30" s="82"/>
      <c r="H30" s="69"/>
      <c r="I30" s="69"/>
      <c r="J30" s="82"/>
      <c r="K30" s="82"/>
      <c r="L30" s="43"/>
      <c r="M30" s="43"/>
      <c r="N30" s="82"/>
      <c r="O30" s="82"/>
      <c r="P30" s="43"/>
      <c r="Q30" s="43" t="s">
        <v>21</v>
      </c>
      <c r="R30" s="82"/>
      <c r="S30" s="69"/>
      <c r="T30" s="82"/>
    </row>
    <row r="31" spans="2:20" ht="60" customHeight="1" x14ac:dyDescent="0.35">
      <c r="B31" s="41" t="s">
        <v>575</v>
      </c>
      <c r="C31" s="80"/>
      <c r="D31" s="81"/>
      <c r="E31" s="81" t="s">
        <v>21</v>
      </c>
      <c r="F31" s="81" t="str">
        <f>IF(E31&lt;&gt;"", IFERROR(VLOOKUP(E31, Dashboard!$B54:$F59, 5, FALSE), ""), "")</f>
        <v/>
      </c>
      <c r="G31" s="82"/>
      <c r="H31" s="69"/>
      <c r="I31" s="69"/>
      <c r="J31" s="82"/>
      <c r="K31" s="82"/>
      <c r="L31" s="43"/>
      <c r="M31" s="43"/>
      <c r="N31" s="82"/>
      <c r="O31" s="82"/>
      <c r="P31" s="43"/>
      <c r="Q31" s="43" t="s">
        <v>21</v>
      </c>
      <c r="R31" s="82"/>
      <c r="S31" s="69"/>
      <c r="T31" s="82"/>
    </row>
    <row r="32" spans="2:20" ht="60" customHeight="1" x14ac:dyDescent="0.35">
      <c r="B32" s="41" t="s">
        <v>576</v>
      </c>
      <c r="C32" s="80"/>
      <c r="D32" s="81"/>
      <c r="E32" s="81" t="s">
        <v>21</v>
      </c>
      <c r="F32" s="81" t="str">
        <f>IF(E32&lt;&gt;"", IFERROR(VLOOKUP(E32, Dashboard!$B54:$F59, 5, FALSE), ""), "")</f>
        <v/>
      </c>
      <c r="G32" s="82"/>
      <c r="H32" s="69"/>
      <c r="I32" s="69"/>
      <c r="J32" s="82"/>
      <c r="K32" s="82"/>
      <c r="L32" s="43"/>
      <c r="M32" s="43"/>
      <c r="N32" s="82"/>
      <c r="O32" s="82"/>
      <c r="P32" s="43"/>
      <c r="Q32" s="43" t="s">
        <v>21</v>
      </c>
      <c r="R32" s="82"/>
      <c r="S32" s="69"/>
      <c r="T32" s="82"/>
    </row>
    <row r="33" spans="2:20" ht="60" customHeight="1" x14ac:dyDescent="0.35">
      <c r="B33" s="41" t="s">
        <v>577</v>
      </c>
      <c r="C33" s="80"/>
      <c r="D33" s="81"/>
      <c r="E33" s="81" t="s">
        <v>21</v>
      </c>
      <c r="F33" s="81" t="str">
        <f>IF(E33&lt;&gt;"", IFERROR(VLOOKUP(E33, Dashboard!$B54:$F59, 5, FALSE), ""), "")</f>
        <v/>
      </c>
      <c r="G33" s="82"/>
      <c r="H33" s="69"/>
      <c r="I33" s="69"/>
      <c r="J33" s="82"/>
      <c r="K33" s="82"/>
      <c r="L33" s="43"/>
      <c r="M33" s="43"/>
      <c r="N33" s="82"/>
      <c r="O33" s="82"/>
      <c r="P33" s="43"/>
      <c r="Q33" s="43" t="s">
        <v>21</v>
      </c>
      <c r="R33" s="82"/>
      <c r="S33" s="69"/>
      <c r="T33" s="82"/>
    </row>
    <row r="34" spans="2:20" ht="60" customHeight="1" x14ac:dyDescent="0.35">
      <c r="B34" s="41" t="s">
        <v>578</v>
      </c>
      <c r="C34" s="80"/>
      <c r="D34" s="81"/>
      <c r="E34" s="81" t="s">
        <v>21</v>
      </c>
      <c r="F34" s="81" t="str">
        <f>IF(E34&lt;&gt;"", IFERROR(VLOOKUP(E34, Dashboard!$B54:$F59, 5, FALSE), ""), "")</f>
        <v/>
      </c>
      <c r="G34" s="82"/>
      <c r="H34" s="69"/>
      <c r="I34" s="69"/>
      <c r="J34" s="82"/>
      <c r="K34" s="82"/>
      <c r="L34" s="43"/>
      <c r="M34" s="43"/>
      <c r="N34" s="82"/>
      <c r="O34" s="82"/>
      <c r="P34" s="43"/>
      <c r="Q34" s="43" t="s">
        <v>21</v>
      </c>
      <c r="R34" s="82"/>
      <c r="S34" s="69"/>
      <c r="T34" s="82"/>
    </row>
    <row r="35" spans="2:20" ht="60" customHeight="1" x14ac:dyDescent="0.35">
      <c r="B35" s="41" t="s">
        <v>579</v>
      </c>
      <c r="C35" s="80"/>
      <c r="D35" s="81"/>
      <c r="E35" s="81" t="s">
        <v>21</v>
      </c>
      <c r="F35" s="81" t="str">
        <f>IF(E35&lt;&gt;"", IFERROR(VLOOKUP(E35, Dashboard!$B54:$F59, 5, FALSE), ""), "")</f>
        <v/>
      </c>
      <c r="G35" s="82"/>
      <c r="H35" s="69"/>
      <c r="I35" s="69"/>
      <c r="J35" s="82"/>
      <c r="K35" s="82"/>
      <c r="L35" s="43"/>
      <c r="M35" s="43"/>
      <c r="N35" s="82"/>
      <c r="O35" s="82"/>
      <c r="P35" s="43"/>
      <c r="Q35" s="43" t="s">
        <v>21</v>
      </c>
      <c r="R35" s="82"/>
      <c r="S35" s="69"/>
      <c r="T35" s="82"/>
    </row>
    <row r="36" spans="2:20" ht="60" customHeight="1" x14ac:dyDescent="0.35">
      <c r="B36" s="41" t="s">
        <v>580</v>
      </c>
      <c r="C36" s="80"/>
      <c r="D36" s="81"/>
      <c r="E36" s="81" t="s">
        <v>21</v>
      </c>
      <c r="F36" s="81" t="str">
        <f>IF(E36&lt;&gt;"", IFERROR(VLOOKUP(E36, Dashboard!$B54:$F59, 5, FALSE), ""), "")</f>
        <v/>
      </c>
      <c r="G36" s="82"/>
      <c r="H36" s="69"/>
      <c r="I36" s="69"/>
      <c r="J36" s="82"/>
      <c r="K36" s="82"/>
      <c r="L36" s="43"/>
      <c r="M36" s="43"/>
      <c r="N36" s="82"/>
      <c r="O36" s="82"/>
      <c r="P36" s="43"/>
      <c r="Q36" s="43" t="s">
        <v>21</v>
      </c>
      <c r="R36" s="82"/>
      <c r="S36" s="69"/>
      <c r="T36" s="82"/>
    </row>
    <row r="37" spans="2:20" ht="60" customHeight="1" x14ac:dyDescent="0.35">
      <c r="B37" s="41" t="s">
        <v>581</v>
      </c>
      <c r="C37" s="80"/>
      <c r="D37" s="81"/>
      <c r="E37" s="81" t="s">
        <v>21</v>
      </c>
      <c r="F37" s="81" t="str">
        <f>IF(E37&lt;&gt;"", IFERROR(VLOOKUP(E37, Dashboard!$B54:$F59, 5, FALSE), ""), "")</f>
        <v/>
      </c>
      <c r="G37" s="82"/>
      <c r="H37" s="69"/>
      <c r="I37" s="69"/>
      <c r="J37" s="82"/>
      <c r="K37" s="82"/>
      <c r="L37" s="43"/>
      <c r="M37" s="43"/>
      <c r="N37" s="82"/>
      <c r="O37" s="82"/>
      <c r="P37" s="43"/>
      <c r="Q37" s="43" t="s">
        <v>21</v>
      </c>
      <c r="R37" s="82"/>
      <c r="S37" s="69"/>
      <c r="T37" s="82"/>
    </row>
    <row r="38" spans="2:20" ht="60" customHeight="1" x14ac:dyDescent="0.35">
      <c r="B38" s="41" t="s">
        <v>582</v>
      </c>
      <c r="C38" s="80"/>
      <c r="D38" s="81"/>
      <c r="E38" s="81" t="s">
        <v>21</v>
      </c>
      <c r="F38" s="81" t="str">
        <f>IF(E38&lt;&gt;"", IFERROR(VLOOKUP(E38, Dashboard!$B54:$F59, 5, FALSE), ""), "")</f>
        <v/>
      </c>
      <c r="G38" s="82"/>
      <c r="H38" s="69"/>
      <c r="I38" s="69"/>
      <c r="J38" s="82"/>
      <c r="K38" s="82"/>
      <c r="L38" s="43"/>
      <c r="M38" s="43"/>
      <c r="N38" s="82"/>
      <c r="O38" s="82"/>
      <c r="P38" s="43"/>
      <c r="Q38" s="43" t="s">
        <v>21</v>
      </c>
      <c r="R38" s="82"/>
      <c r="S38" s="69"/>
      <c r="T38" s="82"/>
    </row>
    <row r="39" spans="2:20" ht="60" customHeight="1" x14ac:dyDescent="0.35">
      <c r="B39" s="41" t="s">
        <v>583</v>
      </c>
      <c r="C39" s="80"/>
      <c r="D39" s="81"/>
      <c r="E39" s="81" t="s">
        <v>21</v>
      </c>
      <c r="F39" s="81" t="str">
        <f>IF(E39&lt;&gt;"", IFERROR(VLOOKUP(E39, Dashboard!$B54:$F59, 5, FALSE), ""), "")</f>
        <v/>
      </c>
      <c r="G39" s="82"/>
      <c r="H39" s="69"/>
      <c r="I39" s="69"/>
      <c r="J39" s="82"/>
      <c r="K39" s="82"/>
      <c r="L39" s="43"/>
      <c r="M39" s="43"/>
      <c r="N39" s="82"/>
      <c r="O39" s="82"/>
      <c r="P39" s="43"/>
      <c r="Q39" s="43" t="s">
        <v>21</v>
      </c>
      <c r="R39" s="82"/>
      <c r="S39" s="69"/>
      <c r="T39" s="82"/>
    </row>
    <row r="40" spans="2:20" ht="60" customHeight="1" x14ac:dyDescent="0.35">
      <c r="B40" s="41" t="s">
        <v>584</v>
      </c>
      <c r="C40" s="80"/>
      <c r="D40" s="81"/>
      <c r="E40" s="81" t="s">
        <v>21</v>
      </c>
      <c r="F40" s="81" t="str">
        <f>IF(E40&lt;&gt;"", IFERROR(VLOOKUP(E40, Dashboard!$B54:$F59, 5, FALSE), ""), "")</f>
        <v/>
      </c>
      <c r="G40" s="82"/>
      <c r="H40" s="69"/>
      <c r="I40" s="69"/>
      <c r="J40" s="82"/>
      <c r="K40" s="82"/>
      <c r="L40" s="43"/>
      <c r="M40" s="43"/>
      <c r="N40" s="82"/>
      <c r="O40" s="82"/>
      <c r="P40" s="43"/>
      <c r="Q40" s="43" t="s">
        <v>21</v>
      </c>
      <c r="R40" s="82"/>
      <c r="S40" s="69"/>
      <c r="T40" s="82"/>
    </row>
    <row r="41" spans="2:20" ht="60" customHeight="1" x14ac:dyDescent="0.35">
      <c r="B41" s="41" t="s">
        <v>585</v>
      </c>
      <c r="C41" s="80"/>
      <c r="D41" s="81"/>
      <c r="E41" s="81" t="s">
        <v>21</v>
      </c>
      <c r="F41" s="81" t="str">
        <f>IF(E41&lt;&gt;"", IFERROR(VLOOKUP(E41, Dashboard!$B54:$F59, 5, FALSE), ""), "")</f>
        <v/>
      </c>
      <c r="G41" s="82"/>
      <c r="H41" s="69"/>
      <c r="I41" s="69"/>
      <c r="J41" s="82"/>
      <c r="K41" s="82"/>
      <c r="L41" s="43"/>
      <c r="M41" s="43"/>
      <c r="N41" s="82"/>
      <c r="O41" s="82"/>
      <c r="P41" s="43"/>
      <c r="Q41" s="43" t="s">
        <v>21</v>
      </c>
      <c r="R41" s="82"/>
      <c r="S41" s="69"/>
      <c r="T41" s="82"/>
    </row>
    <row r="42" spans="2:20" ht="60" customHeight="1" x14ac:dyDescent="0.35">
      <c r="B42" s="41" t="s">
        <v>586</v>
      </c>
      <c r="C42" s="80"/>
      <c r="D42" s="81"/>
      <c r="E42" s="81" t="s">
        <v>21</v>
      </c>
      <c r="F42" s="81" t="str">
        <f>IF(E42&lt;&gt;"", IFERROR(VLOOKUP(E42, Dashboard!$B54:$F59, 5, FALSE), ""), "")</f>
        <v/>
      </c>
      <c r="G42" s="82"/>
      <c r="H42" s="69"/>
      <c r="I42" s="69"/>
      <c r="J42" s="82"/>
      <c r="K42" s="82"/>
      <c r="L42" s="43"/>
      <c r="M42" s="43"/>
      <c r="N42" s="82"/>
      <c r="O42" s="82"/>
      <c r="P42" s="43"/>
      <c r="Q42" s="43" t="s">
        <v>21</v>
      </c>
      <c r="R42" s="82"/>
      <c r="S42" s="69"/>
      <c r="T42" s="82"/>
    </row>
    <row r="43" spans="2:20" ht="60" customHeight="1" x14ac:dyDescent="0.35">
      <c r="B43" s="41" t="s">
        <v>587</v>
      </c>
      <c r="C43" s="80"/>
      <c r="D43" s="81"/>
      <c r="E43" s="81" t="s">
        <v>21</v>
      </c>
      <c r="F43" s="81" t="str">
        <f>IF(E43&lt;&gt;"", IFERROR(VLOOKUP(E43, Dashboard!$B54:$F59, 5, FALSE), ""), "")</f>
        <v/>
      </c>
      <c r="G43" s="82"/>
      <c r="H43" s="69"/>
      <c r="I43" s="69"/>
      <c r="J43" s="82"/>
      <c r="K43" s="82"/>
      <c r="L43" s="43"/>
      <c r="M43" s="43"/>
      <c r="N43" s="82"/>
      <c r="O43" s="82"/>
      <c r="P43" s="43"/>
      <c r="Q43" s="43" t="s">
        <v>21</v>
      </c>
      <c r="R43" s="82"/>
      <c r="S43" s="69"/>
      <c r="T43" s="82"/>
    </row>
    <row r="44" spans="2:20" ht="60" customHeight="1" x14ac:dyDescent="0.35">
      <c r="B44" s="41" t="s">
        <v>588</v>
      </c>
      <c r="C44" s="80"/>
      <c r="D44" s="81"/>
      <c r="E44" s="81" t="s">
        <v>21</v>
      </c>
      <c r="F44" s="81" t="str">
        <f>IF(E44&lt;&gt;"", IFERROR(VLOOKUP(E44, Dashboard!$B54:$F59, 5, FALSE), ""), "")</f>
        <v/>
      </c>
      <c r="G44" s="82"/>
      <c r="H44" s="69"/>
      <c r="I44" s="69"/>
      <c r="J44" s="82"/>
      <c r="K44" s="82"/>
      <c r="L44" s="43"/>
      <c r="M44" s="43"/>
      <c r="N44" s="82"/>
      <c r="O44" s="82"/>
      <c r="P44" s="43"/>
      <c r="Q44" s="43" t="s">
        <v>21</v>
      </c>
      <c r="R44" s="82"/>
      <c r="S44" s="69"/>
      <c r="T44" s="82"/>
    </row>
    <row r="45" spans="2:20" ht="60" customHeight="1" x14ac:dyDescent="0.35">
      <c r="B45" s="41" t="s">
        <v>589</v>
      </c>
      <c r="C45" s="80"/>
      <c r="D45" s="81"/>
      <c r="E45" s="81" t="s">
        <v>21</v>
      </c>
      <c r="F45" s="81" t="str">
        <f>IF(E45&lt;&gt;"", IFERROR(VLOOKUP(E45, Dashboard!$B54:$F59, 5, FALSE), ""), "")</f>
        <v/>
      </c>
      <c r="G45" s="82"/>
      <c r="H45" s="69"/>
      <c r="I45" s="69"/>
      <c r="J45" s="82"/>
      <c r="K45" s="82"/>
      <c r="L45" s="43"/>
      <c r="M45" s="43"/>
      <c r="N45" s="82"/>
      <c r="O45" s="82"/>
      <c r="P45" s="43"/>
      <c r="Q45" s="43" t="s">
        <v>21</v>
      </c>
      <c r="R45" s="82"/>
      <c r="S45" s="69"/>
      <c r="T45" s="82"/>
    </row>
    <row r="46" spans="2:20" ht="60" customHeight="1" x14ac:dyDescent="0.35">
      <c r="B46" s="41" t="s">
        <v>590</v>
      </c>
      <c r="C46" s="80"/>
      <c r="D46" s="81"/>
      <c r="E46" s="81" t="s">
        <v>21</v>
      </c>
      <c r="F46" s="81" t="str">
        <f>IF(E46&lt;&gt;"", IFERROR(VLOOKUP(E46, Dashboard!$B54:$F59, 5, FALSE), ""), "")</f>
        <v/>
      </c>
      <c r="G46" s="82"/>
      <c r="H46" s="69"/>
      <c r="I46" s="69"/>
      <c r="J46" s="82"/>
      <c r="K46" s="82"/>
      <c r="L46" s="43"/>
      <c r="M46" s="43"/>
      <c r="N46" s="82"/>
      <c r="O46" s="82"/>
      <c r="P46" s="43"/>
      <c r="Q46" s="43" t="s">
        <v>21</v>
      </c>
      <c r="R46" s="82"/>
      <c r="S46" s="69"/>
      <c r="T46" s="82"/>
    </row>
    <row r="47" spans="2:20" ht="60" customHeight="1" x14ac:dyDescent="0.35">
      <c r="B47" s="41" t="s">
        <v>591</v>
      </c>
      <c r="C47" s="80"/>
      <c r="D47" s="81"/>
      <c r="E47" s="81" t="s">
        <v>21</v>
      </c>
      <c r="F47" s="81" t="str">
        <f>IF(E47&lt;&gt;"", IFERROR(VLOOKUP(E47, Dashboard!$B54:$F59, 5, FALSE), ""), "")</f>
        <v/>
      </c>
      <c r="G47" s="82"/>
      <c r="H47" s="69"/>
      <c r="I47" s="69"/>
      <c r="J47" s="82"/>
      <c r="K47" s="82"/>
      <c r="L47" s="43"/>
      <c r="M47" s="43"/>
      <c r="N47" s="82"/>
      <c r="O47" s="82"/>
      <c r="P47" s="43"/>
      <c r="Q47" s="43" t="s">
        <v>21</v>
      </c>
      <c r="R47" s="82"/>
      <c r="S47" s="69"/>
      <c r="T47" s="82"/>
    </row>
    <row r="48" spans="2:20" ht="60" customHeight="1" x14ac:dyDescent="0.35">
      <c r="B48" s="41" t="s">
        <v>592</v>
      </c>
      <c r="C48" s="80"/>
      <c r="D48" s="81"/>
      <c r="E48" s="81" t="s">
        <v>21</v>
      </c>
      <c r="F48" s="81" t="str">
        <f>IF(E48&lt;&gt;"", IFERROR(VLOOKUP(E48, Dashboard!$B54:$F59, 5, FALSE), ""), "")</f>
        <v/>
      </c>
      <c r="G48" s="82"/>
      <c r="H48" s="69"/>
      <c r="I48" s="69"/>
      <c r="J48" s="82"/>
      <c r="K48" s="82"/>
      <c r="L48" s="43"/>
      <c r="M48" s="43"/>
      <c r="N48" s="82"/>
      <c r="O48" s="82"/>
      <c r="P48" s="43"/>
      <c r="Q48" s="43" t="s">
        <v>21</v>
      </c>
      <c r="R48" s="82"/>
      <c r="S48" s="69"/>
      <c r="T48" s="82"/>
    </row>
    <row r="49" spans="2:20" ht="60" customHeight="1" x14ac:dyDescent="0.35">
      <c r="B49" s="41" t="s">
        <v>593</v>
      </c>
      <c r="C49" s="80"/>
      <c r="D49" s="81"/>
      <c r="E49" s="81" t="s">
        <v>21</v>
      </c>
      <c r="F49" s="81" t="str">
        <f>IF(E49&lt;&gt;"", IFERROR(VLOOKUP(E49, Dashboard!$B54:$F59, 5, FALSE), ""), "")</f>
        <v/>
      </c>
      <c r="G49" s="82"/>
      <c r="H49" s="69"/>
      <c r="I49" s="69"/>
      <c r="J49" s="82"/>
      <c r="K49" s="82"/>
      <c r="L49" s="43"/>
      <c r="M49" s="43"/>
      <c r="N49" s="82"/>
      <c r="O49" s="82"/>
      <c r="P49" s="43"/>
      <c r="Q49" s="43" t="s">
        <v>21</v>
      </c>
      <c r="R49" s="82"/>
      <c r="S49" s="69"/>
      <c r="T49" s="82"/>
    </row>
    <row r="50" spans="2:20" ht="60" customHeight="1" x14ac:dyDescent="0.35">
      <c r="B50" s="41" t="s">
        <v>594</v>
      </c>
      <c r="C50" s="80"/>
      <c r="D50" s="81"/>
      <c r="E50" s="81" t="s">
        <v>21</v>
      </c>
      <c r="F50" s="81" t="str">
        <f>IF(E50&lt;&gt;"", IFERROR(VLOOKUP(E50, Dashboard!$B54:$F59, 5, FALSE), ""), "")</f>
        <v/>
      </c>
      <c r="G50" s="82"/>
      <c r="H50" s="69"/>
      <c r="I50" s="69"/>
      <c r="J50" s="82"/>
      <c r="K50" s="82"/>
      <c r="L50" s="43"/>
      <c r="M50" s="43"/>
      <c r="N50" s="82"/>
      <c r="O50" s="82"/>
      <c r="P50" s="43"/>
      <c r="Q50" s="43" t="s">
        <v>21</v>
      </c>
      <c r="R50" s="82"/>
      <c r="S50" s="69"/>
      <c r="T50" s="82"/>
    </row>
    <row r="51" spans="2:20" ht="60" customHeight="1" x14ac:dyDescent="0.35">
      <c r="B51" s="41" t="s">
        <v>595</v>
      </c>
      <c r="C51" s="80"/>
      <c r="D51" s="81"/>
      <c r="E51" s="81" t="s">
        <v>21</v>
      </c>
      <c r="F51" s="81" t="str">
        <f>IF(E51&lt;&gt;"", IFERROR(VLOOKUP(E51, Dashboard!$B54:$F59, 5, FALSE), ""), "")</f>
        <v/>
      </c>
      <c r="G51" s="82"/>
      <c r="H51" s="69"/>
      <c r="I51" s="69"/>
      <c r="J51" s="82"/>
      <c r="K51" s="82"/>
      <c r="L51" s="43"/>
      <c r="M51" s="43"/>
      <c r="N51" s="82"/>
      <c r="O51" s="82"/>
      <c r="P51" s="43"/>
      <c r="Q51" s="43" t="s">
        <v>21</v>
      </c>
      <c r="R51" s="82"/>
      <c r="S51" s="69"/>
      <c r="T51" s="82"/>
    </row>
    <row r="52" spans="2:20" ht="60" customHeight="1" x14ac:dyDescent="0.35">
      <c r="B52" s="41" t="s">
        <v>596</v>
      </c>
      <c r="C52" s="80"/>
      <c r="D52" s="81"/>
      <c r="E52" s="81" t="s">
        <v>21</v>
      </c>
      <c r="F52" s="81" t="str">
        <f>IF(E52&lt;&gt;"", IFERROR(VLOOKUP(E52, Dashboard!$B54:$F59, 5, FALSE), ""), "")</f>
        <v/>
      </c>
      <c r="G52" s="82"/>
      <c r="H52" s="69"/>
      <c r="I52" s="69"/>
      <c r="J52" s="82"/>
      <c r="K52" s="82"/>
      <c r="L52" s="43"/>
      <c r="M52" s="43"/>
      <c r="N52" s="82"/>
      <c r="O52" s="82"/>
      <c r="P52" s="43"/>
      <c r="Q52" s="43" t="s">
        <v>21</v>
      </c>
      <c r="R52" s="82"/>
      <c r="S52" s="69"/>
      <c r="T52" s="82"/>
    </row>
    <row r="53" spans="2:20" ht="60" customHeight="1" x14ac:dyDescent="0.35">
      <c r="B53" s="41" t="s">
        <v>597</v>
      </c>
      <c r="C53" s="80"/>
      <c r="D53" s="81"/>
      <c r="E53" s="81" t="s">
        <v>21</v>
      </c>
      <c r="F53" s="81" t="str">
        <f>IF(E53&lt;&gt;"", IFERROR(VLOOKUP(E53, Dashboard!$B54:$F59, 5, FALSE), ""), "")</f>
        <v/>
      </c>
      <c r="G53" s="82"/>
      <c r="H53" s="69"/>
      <c r="I53" s="69"/>
      <c r="J53" s="82"/>
      <c r="K53" s="82"/>
      <c r="L53" s="43"/>
      <c r="M53" s="43"/>
      <c r="N53" s="82"/>
      <c r="O53" s="82"/>
      <c r="P53" s="43"/>
      <c r="Q53" s="43" t="s">
        <v>21</v>
      </c>
      <c r="R53" s="82"/>
      <c r="S53" s="69"/>
      <c r="T53" s="82"/>
    </row>
    <row r="54" spans="2:20" ht="60" customHeight="1" x14ac:dyDescent="0.35">
      <c r="B54" s="41" t="s">
        <v>598</v>
      </c>
      <c r="C54" s="80"/>
      <c r="D54" s="81"/>
      <c r="E54" s="81" t="s">
        <v>21</v>
      </c>
      <c r="F54" s="81" t="str">
        <f>IF(E54&lt;&gt;"", IFERROR(VLOOKUP(E54, Dashboard!$B54:$F59,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351</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599</v>
      </c>
      <c r="B1" s="107" t="s">
        <v>0</v>
      </c>
      <c r="C1" s="107" t="s">
        <v>600</v>
      </c>
      <c r="D1" s="107" t="s">
        <v>10</v>
      </c>
      <c r="E1" s="107" t="s">
        <v>601</v>
      </c>
      <c r="F1" s="107" t="s">
        <v>602</v>
      </c>
      <c r="G1" s="107" t="s">
        <v>603</v>
      </c>
      <c r="H1" s="107" t="s">
        <v>604</v>
      </c>
      <c r="I1" s="107" t="s">
        <v>605</v>
      </c>
      <c r="J1" s="107" t="s">
        <v>606</v>
      </c>
      <c r="K1" s="107" t="s">
        <v>607</v>
      </c>
      <c r="L1" s="107" t="s">
        <v>608</v>
      </c>
      <c r="M1" s="107" t="s">
        <v>609</v>
      </c>
      <c r="N1" s="107" t="s">
        <v>610</v>
      </c>
      <c r="O1" s="107" t="s">
        <v>611</v>
      </c>
      <c r="P1" s="107" t="s">
        <v>612</v>
      </c>
      <c r="Q1" s="107" t="s">
        <v>613</v>
      </c>
      <c r="R1" s="107" t="s">
        <v>614</v>
      </c>
      <c r="S1" s="107" t="s">
        <v>615</v>
      </c>
      <c r="T1" s="107" t="s">
        <v>616</v>
      </c>
      <c r="U1" s="107" t="s">
        <v>617</v>
      </c>
      <c r="V1" s="107" t="s">
        <v>618</v>
      </c>
      <c r="W1" s="107" t="s">
        <v>619</v>
      </c>
      <c r="X1" s="107" t="s">
        <v>620</v>
      </c>
      <c r="Y1" s="107" t="s">
        <v>621</v>
      </c>
      <c r="Z1" s="107" t="s">
        <v>622</v>
      </c>
      <c r="AA1" s="107" t="s">
        <v>623</v>
      </c>
      <c r="AB1" s="107" t="s">
        <v>624</v>
      </c>
      <c r="AC1" s="107" t="s">
        <v>625</v>
      </c>
      <c r="AD1" s="107" t="s">
        <v>626</v>
      </c>
      <c r="AE1" s="107" t="s">
        <v>627</v>
      </c>
      <c r="AF1" s="107" t="s">
        <v>628</v>
      </c>
      <c r="AG1" s="107" t="s">
        <v>629</v>
      </c>
      <c r="AH1" s="107" t="s">
        <v>630</v>
      </c>
      <c r="AI1" s="107" t="s">
        <v>631</v>
      </c>
      <c r="AJ1" s="107" t="s">
        <v>632</v>
      </c>
      <c r="AK1" s="107" t="s">
        <v>633</v>
      </c>
      <c r="AL1" s="107" t="s">
        <v>634</v>
      </c>
      <c r="AM1" s="107" t="s">
        <v>635</v>
      </c>
      <c r="AN1" s="107" t="s">
        <v>636</v>
      </c>
      <c r="AO1" s="107" t="s">
        <v>637</v>
      </c>
      <c r="AP1" s="107" t="s">
        <v>638</v>
      </c>
      <c r="AQ1" s="107" t="s">
        <v>639</v>
      </c>
      <c r="AR1" s="107" t="s">
        <v>640</v>
      </c>
      <c r="AS1" s="107" t="s">
        <v>641</v>
      </c>
      <c r="AT1" s="107" t="s">
        <v>642</v>
      </c>
      <c r="AU1" s="107" t="s">
        <v>643</v>
      </c>
      <c r="AV1" s="107" t="s">
        <v>644</v>
      </c>
      <c r="AW1" s="108" t="s">
        <v>645</v>
      </c>
    </row>
    <row r="2" spans="1:49" ht="60" customHeight="1" outlineLevel="1" x14ac:dyDescent="0.35">
      <c r="A2" s="100" t="s">
        <v>646</v>
      </c>
      <c r="B2" s="83">
        <v>1</v>
      </c>
      <c r="C2" s="85" t="s">
        <v>21</v>
      </c>
      <c r="D2" s="87" t="s">
        <v>647</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646</v>
      </c>
      <c r="B3" s="84" t="s">
        <v>648</v>
      </c>
      <c r="C3" s="86" t="s">
        <v>649</v>
      </c>
      <c r="D3" s="88" t="s">
        <v>650</v>
      </c>
      <c r="E3" s="88" t="s">
        <v>651</v>
      </c>
      <c r="F3" s="89" t="s">
        <v>652</v>
      </c>
      <c r="G3" s="89" t="s">
        <v>653</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646</v>
      </c>
      <c r="B4" s="84" t="s">
        <v>654</v>
      </c>
      <c r="C4" s="86" t="s">
        <v>655</v>
      </c>
      <c r="D4" s="88" t="s">
        <v>656</v>
      </c>
      <c r="E4" s="88" t="s">
        <v>657</v>
      </c>
      <c r="F4" s="89" t="s">
        <v>652</v>
      </c>
      <c r="G4" s="89" t="s">
        <v>658</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646</v>
      </c>
      <c r="B5" s="84" t="s">
        <v>659</v>
      </c>
      <c r="C5" s="86" t="s">
        <v>660</v>
      </c>
      <c r="D5" s="88" t="s">
        <v>661</v>
      </c>
      <c r="E5" s="88" t="s">
        <v>662</v>
      </c>
      <c r="F5" s="89" t="s">
        <v>652</v>
      </c>
      <c r="G5" s="89" t="s">
        <v>663</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646</v>
      </c>
      <c r="B6" s="84" t="s">
        <v>664</v>
      </c>
      <c r="C6" s="86" t="s">
        <v>665</v>
      </c>
      <c r="D6" s="88" t="s">
        <v>666</v>
      </c>
      <c r="E6" s="88" t="s">
        <v>667</v>
      </c>
      <c r="F6" s="89" t="s">
        <v>652</v>
      </c>
      <c r="G6" s="89" t="s">
        <v>653</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646</v>
      </c>
      <c r="B7" s="84" t="s">
        <v>668</v>
      </c>
      <c r="C7" s="86" t="s">
        <v>669</v>
      </c>
      <c r="D7" s="88" t="s">
        <v>670</v>
      </c>
      <c r="E7" s="88" t="s">
        <v>671</v>
      </c>
      <c r="F7" s="89" t="s">
        <v>652</v>
      </c>
      <c r="G7" s="89" t="s">
        <v>663</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672</v>
      </c>
      <c r="B8" s="83">
        <v>2</v>
      </c>
      <c r="C8" s="85" t="s">
        <v>21</v>
      </c>
      <c r="D8" s="87" t="s">
        <v>673</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672</v>
      </c>
      <c r="B9" s="84" t="s">
        <v>674</v>
      </c>
      <c r="C9" s="86" t="s">
        <v>675</v>
      </c>
      <c r="D9" s="88" t="s">
        <v>676</v>
      </c>
      <c r="E9" s="88" t="s">
        <v>677</v>
      </c>
      <c r="F9" s="89" t="s">
        <v>678</v>
      </c>
      <c r="G9" s="89" t="s">
        <v>653</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672</v>
      </c>
      <c r="B10" s="84" t="s">
        <v>679</v>
      </c>
      <c r="C10" s="86" t="s">
        <v>680</v>
      </c>
      <c r="D10" s="88" t="s">
        <v>681</v>
      </c>
      <c r="E10" s="88" t="s">
        <v>682</v>
      </c>
      <c r="F10" s="89" t="s">
        <v>678</v>
      </c>
      <c r="G10" s="89" t="s">
        <v>653</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672</v>
      </c>
      <c r="B11" s="84" t="s">
        <v>683</v>
      </c>
      <c r="C11" s="86" t="s">
        <v>684</v>
      </c>
      <c r="D11" s="88" t="s">
        <v>685</v>
      </c>
      <c r="E11" s="88" t="s">
        <v>686</v>
      </c>
      <c r="F11" s="89" t="s">
        <v>678</v>
      </c>
      <c r="G11" s="89" t="s">
        <v>658</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672</v>
      </c>
      <c r="B12" s="84" t="s">
        <v>687</v>
      </c>
      <c r="C12" s="86" t="s">
        <v>688</v>
      </c>
      <c r="D12" s="88" t="s">
        <v>689</v>
      </c>
      <c r="E12" s="88" t="s">
        <v>690</v>
      </c>
      <c r="F12" s="89" t="s">
        <v>678</v>
      </c>
      <c r="G12" s="89" t="s">
        <v>663</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672</v>
      </c>
      <c r="B13" s="84" t="s">
        <v>691</v>
      </c>
      <c r="C13" s="86" t="s">
        <v>692</v>
      </c>
      <c r="D13" s="88" t="s">
        <v>693</v>
      </c>
      <c r="E13" s="88" t="s">
        <v>694</v>
      </c>
      <c r="F13" s="89" t="s">
        <v>678</v>
      </c>
      <c r="G13" s="89" t="s">
        <v>695</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672</v>
      </c>
      <c r="B14" s="84" t="s">
        <v>696</v>
      </c>
      <c r="C14" s="86" t="s">
        <v>697</v>
      </c>
      <c r="D14" s="88" t="s">
        <v>698</v>
      </c>
      <c r="E14" s="88" t="s">
        <v>699</v>
      </c>
      <c r="F14" s="89" t="s">
        <v>678</v>
      </c>
      <c r="G14" s="89" t="s">
        <v>695</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672</v>
      </c>
      <c r="B15" s="84" t="s">
        <v>700</v>
      </c>
      <c r="C15" s="86" t="s">
        <v>701</v>
      </c>
      <c r="D15" s="88" t="s">
        <v>702</v>
      </c>
      <c r="E15" s="88" t="s">
        <v>703</v>
      </c>
      <c r="F15" s="89" t="s">
        <v>678</v>
      </c>
      <c r="G15" s="89" t="s">
        <v>695</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704</v>
      </c>
      <c r="B16" s="83">
        <v>3</v>
      </c>
      <c r="C16" s="85" t="s">
        <v>21</v>
      </c>
      <c r="D16" s="87" t="s">
        <v>705</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704</v>
      </c>
      <c r="B17" s="84" t="s">
        <v>706</v>
      </c>
      <c r="C17" s="86" t="s">
        <v>707</v>
      </c>
      <c r="D17" s="88" t="s">
        <v>708</v>
      </c>
      <c r="E17" s="88" t="s">
        <v>709</v>
      </c>
      <c r="F17" s="89" t="s">
        <v>710</v>
      </c>
      <c r="G17" s="89" t="s">
        <v>711</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704</v>
      </c>
      <c r="B18" s="84" t="s">
        <v>712</v>
      </c>
      <c r="C18" s="86" t="s">
        <v>713</v>
      </c>
      <c r="D18" s="88" t="s">
        <v>714</v>
      </c>
      <c r="E18" s="88" t="s">
        <v>715</v>
      </c>
      <c r="F18" s="89" t="s">
        <v>710</v>
      </c>
      <c r="G18" s="89" t="s">
        <v>653</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704</v>
      </c>
      <c r="B19" s="84" t="s">
        <v>716</v>
      </c>
      <c r="C19" s="86" t="s">
        <v>717</v>
      </c>
      <c r="D19" s="88" t="s">
        <v>718</v>
      </c>
      <c r="E19" s="88" t="s">
        <v>719</v>
      </c>
      <c r="F19" s="89" t="s">
        <v>710</v>
      </c>
      <c r="G19" s="89" t="s">
        <v>695</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704</v>
      </c>
      <c r="B20" s="84" t="s">
        <v>720</v>
      </c>
      <c r="C20" s="86" t="s">
        <v>721</v>
      </c>
      <c r="D20" s="88" t="s">
        <v>722</v>
      </c>
      <c r="E20" s="88" t="s">
        <v>723</v>
      </c>
      <c r="F20" s="89" t="s">
        <v>710</v>
      </c>
      <c r="G20" s="89" t="s">
        <v>695</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704</v>
      </c>
      <c r="B21" s="84" t="s">
        <v>724</v>
      </c>
      <c r="C21" s="86" t="s">
        <v>725</v>
      </c>
      <c r="D21" s="88" t="s">
        <v>726</v>
      </c>
      <c r="E21" s="88" t="s">
        <v>727</v>
      </c>
      <c r="F21" s="89" t="s">
        <v>710</v>
      </c>
      <c r="G21" s="89" t="s">
        <v>695</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704</v>
      </c>
      <c r="B22" s="84" t="s">
        <v>728</v>
      </c>
      <c r="C22" s="86" t="s">
        <v>729</v>
      </c>
      <c r="D22" s="88" t="s">
        <v>730</v>
      </c>
      <c r="E22" s="88" t="s">
        <v>731</v>
      </c>
      <c r="F22" s="89" t="s">
        <v>710</v>
      </c>
      <c r="G22" s="89" t="s">
        <v>695</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704</v>
      </c>
      <c r="B23" s="84" t="s">
        <v>732</v>
      </c>
      <c r="C23" s="86" t="s">
        <v>733</v>
      </c>
      <c r="D23" s="88" t="s">
        <v>734</v>
      </c>
      <c r="E23" s="88" t="s">
        <v>735</v>
      </c>
      <c r="F23" s="89" t="s">
        <v>710</v>
      </c>
      <c r="G23" s="89" t="s">
        <v>653</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704</v>
      </c>
      <c r="B24" s="84" t="s">
        <v>736</v>
      </c>
      <c r="C24" s="86" t="s">
        <v>737</v>
      </c>
      <c r="D24" s="88" t="s">
        <v>738</v>
      </c>
      <c r="E24" s="88" t="s">
        <v>739</v>
      </c>
      <c r="F24" s="89" t="s">
        <v>710</v>
      </c>
      <c r="G24" s="89" t="s">
        <v>653</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704</v>
      </c>
      <c r="B25" s="84" t="s">
        <v>740</v>
      </c>
      <c r="C25" s="86" t="s">
        <v>741</v>
      </c>
      <c r="D25" s="88" t="s">
        <v>742</v>
      </c>
      <c r="E25" s="88" t="s">
        <v>743</v>
      </c>
      <c r="F25" s="89" t="s">
        <v>710</v>
      </c>
      <c r="G25" s="89" t="s">
        <v>695</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704</v>
      </c>
      <c r="B26" s="84" t="s">
        <v>744</v>
      </c>
      <c r="C26" s="86" t="s">
        <v>745</v>
      </c>
      <c r="D26" s="88" t="s">
        <v>746</v>
      </c>
      <c r="E26" s="88" t="s">
        <v>747</v>
      </c>
      <c r="F26" s="89" t="s">
        <v>710</v>
      </c>
      <c r="G26" s="89" t="s">
        <v>695</v>
      </c>
      <c r="H26" s="89">
        <v>2</v>
      </c>
      <c r="I26" s="91">
        <f>IF(COUNTIF(J26:AW26,"&lt;&gt;")=0,"",SUMPRODUCT(((Recommendations[ImplStatus]="Implemented")+(Recommendations[ImplStatus]="Compensated"))*ISNUMBER(MATCH(Recommendations[Id],J26:AW26,0)))/COUNTIF(J26:AW26,"&lt;&gt;"))</f>
        <v>0</v>
      </c>
      <c r="J26" s="93" t="s">
        <v>73</v>
      </c>
      <c r="K26" s="93" t="s">
        <v>336</v>
      </c>
      <c r="L26" s="93" t="s">
        <v>346</v>
      </c>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704</v>
      </c>
      <c r="B27" s="84" t="s">
        <v>748</v>
      </c>
      <c r="C27" s="86" t="s">
        <v>749</v>
      </c>
      <c r="D27" s="88" t="s">
        <v>750</v>
      </c>
      <c r="E27" s="88" t="s">
        <v>751</v>
      </c>
      <c r="F27" s="89" t="s">
        <v>710</v>
      </c>
      <c r="G27" s="89" t="s">
        <v>695</v>
      </c>
      <c r="H27" s="89">
        <v>2</v>
      </c>
      <c r="I27" s="91">
        <f>IF(COUNTIF(J27:AW27,"&lt;&gt;")=0,"",SUMPRODUCT(((Recommendations[ImplStatus]="Implemented")+(Recommendations[ImplStatus]="Compensated"))*ISNUMBER(MATCH(Recommendations[Id],J27:AW27,0)))/COUNTIF(J27:AW27,"&lt;&gt;"))</f>
        <v>0</v>
      </c>
      <c r="J27" s="93" t="s">
        <v>192</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704</v>
      </c>
      <c r="B28" s="84" t="s">
        <v>752</v>
      </c>
      <c r="C28" s="86" t="s">
        <v>753</v>
      </c>
      <c r="D28" s="88" t="s">
        <v>754</v>
      </c>
      <c r="E28" s="88" t="s">
        <v>755</v>
      </c>
      <c r="F28" s="89" t="s">
        <v>710</v>
      </c>
      <c r="G28" s="89" t="s">
        <v>695</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704</v>
      </c>
      <c r="B29" s="84" t="s">
        <v>756</v>
      </c>
      <c r="C29" s="86" t="s">
        <v>757</v>
      </c>
      <c r="D29" s="88" t="s">
        <v>758</v>
      </c>
      <c r="E29" s="88" t="s">
        <v>759</v>
      </c>
      <c r="F29" s="89" t="s">
        <v>710</v>
      </c>
      <c r="G29" s="89" t="s">
        <v>695</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704</v>
      </c>
      <c r="B30" s="84" t="s">
        <v>760</v>
      </c>
      <c r="C30" s="86" t="s">
        <v>761</v>
      </c>
      <c r="D30" s="88" t="s">
        <v>762</v>
      </c>
      <c r="E30" s="88" t="s">
        <v>763</v>
      </c>
      <c r="F30" s="89" t="s">
        <v>710</v>
      </c>
      <c r="G30" s="89" t="s">
        <v>663</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764</v>
      </c>
      <c r="B31" s="83">
        <v>4</v>
      </c>
      <c r="C31" s="85" t="s">
        <v>21</v>
      </c>
      <c r="D31" s="87" t="s">
        <v>765</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764</v>
      </c>
      <c r="B32" s="84" t="s">
        <v>766</v>
      </c>
      <c r="C32" s="86" t="s">
        <v>767</v>
      </c>
      <c r="D32" s="88" t="s">
        <v>768</v>
      </c>
      <c r="E32" s="88" t="s">
        <v>769</v>
      </c>
      <c r="F32" s="89" t="s">
        <v>770</v>
      </c>
      <c r="G32" s="89" t="s">
        <v>711</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764</v>
      </c>
      <c r="B33" s="84" t="s">
        <v>771</v>
      </c>
      <c r="C33" s="86" t="s">
        <v>772</v>
      </c>
      <c r="D33" s="88" t="s">
        <v>773</v>
      </c>
      <c r="E33" s="88" t="s">
        <v>774</v>
      </c>
      <c r="F33" s="89" t="s">
        <v>770</v>
      </c>
      <c r="G33" s="89" t="s">
        <v>711</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764</v>
      </c>
      <c r="B34" s="84" t="s">
        <v>775</v>
      </c>
      <c r="C34" s="86" t="s">
        <v>776</v>
      </c>
      <c r="D34" s="88" t="s">
        <v>777</v>
      </c>
      <c r="E34" s="88" t="s">
        <v>778</v>
      </c>
      <c r="F34" s="89" t="s">
        <v>652</v>
      </c>
      <c r="G34" s="89" t="s">
        <v>695</v>
      </c>
      <c r="H34" s="89">
        <v>1</v>
      </c>
      <c r="I34" s="91">
        <f>IF(COUNTIF(J34:AW34,"&lt;&gt;")=0,"",SUMPRODUCT(((Recommendations[ImplStatus]="Implemented")+(Recommendations[ImplStatus]="Compensated"))*ISNUMBER(MATCH(Recommendations[Id],J34:AW34,0)))/COUNTIF(J34:AW34,"&lt;&gt;"))</f>
        <v>0</v>
      </c>
      <c r="J34" s="93" t="s">
        <v>257</v>
      </c>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764</v>
      </c>
      <c r="B35" s="84" t="s">
        <v>779</v>
      </c>
      <c r="C35" s="86" t="s">
        <v>780</v>
      </c>
      <c r="D35" s="88" t="s">
        <v>781</v>
      </c>
      <c r="E35" s="88" t="s">
        <v>782</v>
      </c>
      <c r="F35" s="89" t="s">
        <v>652</v>
      </c>
      <c r="G35" s="89" t="s">
        <v>695</v>
      </c>
      <c r="H35" s="89">
        <v>1</v>
      </c>
      <c r="I35" s="91">
        <f>IF(COUNTIF(J35:AW35,"&lt;&gt;")=0,"",SUMPRODUCT(((Recommendations[ImplStatus]="Implemented")+(Recommendations[ImplStatus]="Compensated"))*ISNUMBER(MATCH(Recommendations[Id],J35:AW35,0)))/COUNTIF(J35:AW35,"&lt;&gt;"))</f>
        <v>0</v>
      </c>
      <c r="J35" s="93" t="s">
        <v>25</v>
      </c>
      <c r="K35" s="93" t="s">
        <v>30</v>
      </c>
      <c r="L35" s="93" t="s">
        <v>51</v>
      </c>
      <c r="M35" s="93" t="s">
        <v>78</v>
      </c>
      <c r="N35" s="93" t="s">
        <v>82</v>
      </c>
      <c r="O35" s="93" t="s">
        <v>92</v>
      </c>
      <c r="P35" s="93" t="s">
        <v>128</v>
      </c>
      <c r="Q35" s="93" t="s">
        <v>197</v>
      </c>
      <c r="R35" s="93" t="s">
        <v>201</v>
      </c>
      <c r="S35" s="93" t="s">
        <v>214</v>
      </c>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764</v>
      </c>
      <c r="B36" s="84" t="s">
        <v>783</v>
      </c>
      <c r="C36" s="86" t="s">
        <v>784</v>
      </c>
      <c r="D36" s="88" t="s">
        <v>785</v>
      </c>
      <c r="E36" s="88" t="s">
        <v>786</v>
      </c>
      <c r="F36" s="89" t="s">
        <v>652</v>
      </c>
      <c r="G36" s="89" t="s">
        <v>695</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764</v>
      </c>
      <c r="B37" s="84" t="s">
        <v>787</v>
      </c>
      <c r="C37" s="86" t="s">
        <v>788</v>
      </c>
      <c r="D37" s="88" t="s">
        <v>789</v>
      </c>
      <c r="E37" s="88" t="s">
        <v>790</v>
      </c>
      <c r="F37" s="89" t="s">
        <v>652</v>
      </c>
      <c r="G37" s="89" t="s">
        <v>695</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764</v>
      </c>
      <c r="B38" s="84" t="s">
        <v>791</v>
      </c>
      <c r="C38" s="86" t="s">
        <v>792</v>
      </c>
      <c r="D38" s="88" t="s">
        <v>793</v>
      </c>
      <c r="E38" s="88" t="s">
        <v>794</v>
      </c>
      <c r="F38" s="89" t="s">
        <v>795</v>
      </c>
      <c r="G38" s="89" t="s">
        <v>695</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764</v>
      </c>
      <c r="B39" s="84" t="s">
        <v>796</v>
      </c>
      <c r="C39" s="86" t="s">
        <v>797</v>
      </c>
      <c r="D39" s="88" t="s">
        <v>798</v>
      </c>
      <c r="E39" s="88" t="s">
        <v>799</v>
      </c>
      <c r="F39" s="89" t="s">
        <v>652</v>
      </c>
      <c r="G39" s="89" t="s">
        <v>695</v>
      </c>
      <c r="H39" s="89">
        <v>2</v>
      </c>
      <c r="I39" s="91">
        <f>IF(COUNTIF(J39:AW39,"&lt;&gt;")=0,"",SUMPRODUCT(((Recommendations[ImplStatus]="Implemented")+(Recommendations[ImplStatus]="Compensated"))*ISNUMBER(MATCH(Recommendations[Id],J39:AW39,0)))/COUNTIF(J39:AW39,"&lt;&gt;"))</f>
        <v>0</v>
      </c>
      <c r="J39" s="93" t="s">
        <v>108</v>
      </c>
      <c r="K39" s="93" t="s">
        <v>113</v>
      </c>
      <c r="L39" s="93" t="s">
        <v>118</v>
      </c>
      <c r="M39" s="93" t="s">
        <v>169</v>
      </c>
      <c r="N39" s="93" t="s">
        <v>174</v>
      </c>
      <c r="O39" s="93" t="s">
        <v>178</v>
      </c>
      <c r="P39" s="93" t="s">
        <v>222</v>
      </c>
      <c r="Q39" s="93" t="s">
        <v>227</v>
      </c>
      <c r="R39" s="93" t="s">
        <v>237</v>
      </c>
      <c r="S39" s="93" t="s">
        <v>326</v>
      </c>
      <c r="T39" s="93" t="s">
        <v>341</v>
      </c>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764</v>
      </c>
      <c r="B40" s="84" t="s">
        <v>800</v>
      </c>
      <c r="C40" s="86" t="s">
        <v>801</v>
      </c>
      <c r="D40" s="88" t="s">
        <v>802</v>
      </c>
      <c r="E40" s="88" t="s">
        <v>803</v>
      </c>
      <c r="F40" s="89" t="s">
        <v>652</v>
      </c>
      <c r="G40" s="89" t="s">
        <v>695</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764</v>
      </c>
      <c r="B41" s="84" t="s">
        <v>804</v>
      </c>
      <c r="C41" s="86" t="s">
        <v>805</v>
      </c>
      <c r="D41" s="88" t="s">
        <v>806</v>
      </c>
      <c r="E41" s="88" t="s">
        <v>807</v>
      </c>
      <c r="F41" s="89" t="s">
        <v>652</v>
      </c>
      <c r="G41" s="89" t="s">
        <v>695</v>
      </c>
      <c r="H41" s="89">
        <v>2</v>
      </c>
      <c r="I41" s="91">
        <f>IF(COUNTIF(J41:AW41,"&lt;&gt;")=0,"",SUMPRODUCT(((Recommendations[ImplStatus]="Implemented")+(Recommendations[ImplStatus]="Compensated"))*ISNUMBER(MATCH(Recommendations[Id],J41:AW41,0)))/COUNTIF(J41:AW41,"&lt;&gt;"))</f>
        <v>0</v>
      </c>
      <c r="J41" s="93" t="s">
        <v>247</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764</v>
      </c>
      <c r="B42" s="84" t="s">
        <v>808</v>
      </c>
      <c r="C42" s="86" t="s">
        <v>809</v>
      </c>
      <c r="D42" s="88" t="s">
        <v>810</v>
      </c>
      <c r="E42" s="88" t="s">
        <v>811</v>
      </c>
      <c r="F42" s="89" t="s">
        <v>710</v>
      </c>
      <c r="G42" s="89" t="s">
        <v>695</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764</v>
      </c>
      <c r="B43" s="84" t="s">
        <v>812</v>
      </c>
      <c r="C43" s="86" t="s">
        <v>813</v>
      </c>
      <c r="D43" s="88" t="s">
        <v>814</v>
      </c>
      <c r="E43" s="88" t="s">
        <v>815</v>
      </c>
      <c r="F43" s="89" t="s">
        <v>710</v>
      </c>
      <c r="G43" s="89" t="s">
        <v>695</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816</v>
      </c>
      <c r="B44" s="83">
        <v>5</v>
      </c>
      <c r="C44" s="85" t="s">
        <v>21</v>
      </c>
      <c r="D44" s="87" t="s">
        <v>817</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816</v>
      </c>
      <c r="B45" s="84" t="s">
        <v>818</v>
      </c>
      <c r="C45" s="86" t="s">
        <v>819</v>
      </c>
      <c r="D45" s="88" t="s">
        <v>820</v>
      </c>
      <c r="E45" s="88" t="s">
        <v>821</v>
      </c>
      <c r="F45" s="89" t="s">
        <v>795</v>
      </c>
      <c r="G45" s="89" t="s">
        <v>653</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816</v>
      </c>
      <c r="B46" s="84" t="s">
        <v>822</v>
      </c>
      <c r="C46" s="86" t="s">
        <v>823</v>
      </c>
      <c r="D46" s="88" t="s">
        <v>824</v>
      </c>
      <c r="E46" s="88" t="s">
        <v>825</v>
      </c>
      <c r="F46" s="89" t="s">
        <v>795</v>
      </c>
      <c r="G46" s="89" t="s">
        <v>695</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816</v>
      </c>
      <c r="B47" s="84" t="s">
        <v>826</v>
      </c>
      <c r="C47" s="86" t="s">
        <v>827</v>
      </c>
      <c r="D47" s="88" t="s">
        <v>828</v>
      </c>
      <c r="E47" s="88" t="s">
        <v>829</v>
      </c>
      <c r="F47" s="89" t="s">
        <v>795</v>
      </c>
      <c r="G47" s="89" t="s">
        <v>695</v>
      </c>
      <c r="H47" s="89">
        <v>1</v>
      </c>
      <c r="I47" s="91">
        <f>IF(COUNTIF(J47:AW47,"&lt;&gt;")=0,"",SUMPRODUCT(((Recommendations[ImplStatus]="Implemented")+(Recommendations[ImplStatus]="Compensated"))*ISNUMBER(MATCH(Recommendations[Id],J47:AW47,0)))/COUNTIF(J47:AW47,"&lt;&gt;"))</f>
        <v>0</v>
      </c>
      <c r="J47" s="93" t="s">
        <v>331</v>
      </c>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816</v>
      </c>
      <c r="B48" s="84" t="s">
        <v>830</v>
      </c>
      <c r="C48" s="86" t="s">
        <v>831</v>
      </c>
      <c r="D48" s="88" t="s">
        <v>832</v>
      </c>
      <c r="E48" s="88" t="s">
        <v>833</v>
      </c>
      <c r="F48" s="89" t="s">
        <v>795</v>
      </c>
      <c r="G48" s="89" t="s">
        <v>695</v>
      </c>
      <c r="H48" s="89">
        <v>1</v>
      </c>
      <c r="I48" s="91">
        <f>IF(COUNTIF(J48:AW48,"&lt;&gt;")=0,"",SUMPRODUCT(((Recommendations[ImplStatus]="Implemented")+(Recommendations[ImplStatus]="Compensated"))*ISNUMBER(MATCH(Recommendations[Id],J48:AW48,0)))/COUNTIF(J48:AW48,"&lt;&gt;"))</f>
        <v>0</v>
      </c>
      <c r="J48" s="93" t="s">
        <v>241</v>
      </c>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816</v>
      </c>
      <c r="B49" s="84" t="s">
        <v>834</v>
      </c>
      <c r="C49" s="86" t="s">
        <v>835</v>
      </c>
      <c r="D49" s="88" t="s">
        <v>836</v>
      </c>
      <c r="E49" s="88" t="s">
        <v>837</v>
      </c>
      <c r="F49" s="89" t="s">
        <v>795</v>
      </c>
      <c r="G49" s="89" t="s">
        <v>653</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816</v>
      </c>
      <c r="B50" s="84" t="s">
        <v>838</v>
      </c>
      <c r="C50" s="86" t="s">
        <v>839</v>
      </c>
      <c r="D50" s="88" t="s">
        <v>840</v>
      </c>
      <c r="E50" s="88" t="s">
        <v>841</v>
      </c>
      <c r="F50" s="89" t="s">
        <v>795</v>
      </c>
      <c r="G50" s="89" t="s">
        <v>711</v>
      </c>
      <c r="H50" s="89">
        <v>2</v>
      </c>
      <c r="I50" s="91">
        <f>IF(COUNTIF(J50:AW50,"&lt;&gt;")=0,"",SUMPRODUCT(((Recommendations[ImplStatus]="Implemented")+(Recommendations[ImplStatus]="Compensated"))*ISNUMBER(MATCH(Recommendations[Id],J50:AW50,0)))/COUNTIF(J50:AW50,"&lt;&gt;"))</f>
        <v>0</v>
      </c>
      <c r="J50" s="93" t="s">
        <v>294</v>
      </c>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842</v>
      </c>
      <c r="B51" s="83">
        <v>6</v>
      </c>
      <c r="C51" s="85" t="s">
        <v>21</v>
      </c>
      <c r="D51" s="87" t="s">
        <v>843</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842</v>
      </c>
      <c r="B52" s="84" t="s">
        <v>844</v>
      </c>
      <c r="C52" s="86" t="s">
        <v>845</v>
      </c>
      <c r="D52" s="88" t="s">
        <v>846</v>
      </c>
      <c r="E52" s="88" t="s">
        <v>847</v>
      </c>
      <c r="F52" s="89" t="s">
        <v>770</v>
      </c>
      <c r="G52" s="89" t="s">
        <v>711</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842</v>
      </c>
      <c r="B53" s="84" t="s">
        <v>848</v>
      </c>
      <c r="C53" s="86" t="s">
        <v>849</v>
      </c>
      <c r="D53" s="88" t="s">
        <v>850</v>
      </c>
      <c r="E53" s="88" t="s">
        <v>851</v>
      </c>
      <c r="F53" s="89" t="s">
        <v>770</v>
      </c>
      <c r="G53" s="89" t="s">
        <v>711</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842</v>
      </c>
      <c r="B54" s="84" t="s">
        <v>852</v>
      </c>
      <c r="C54" s="86" t="s">
        <v>853</v>
      </c>
      <c r="D54" s="88" t="s">
        <v>854</v>
      </c>
      <c r="E54" s="88" t="s">
        <v>855</v>
      </c>
      <c r="F54" s="89" t="s">
        <v>795</v>
      </c>
      <c r="G54" s="89" t="s">
        <v>695</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842</v>
      </c>
      <c r="B55" s="84" t="s">
        <v>856</v>
      </c>
      <c r="C55" s="86" t="s">
        <v>857</v>
      </c>
      <c r="D55" s="88" t="s">
        <v>858</v>
      </c>
      <c r="E55" s="88" t="s">
        <v>859</v>
      </c>
      <c r="F55" s="89" t="s">
        <v>795</v>
      </c>
      <c r="G55" s="89" t="s">
        <v>695</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842</v>
      </c>
      <c r="B56" s="84" t="s">
        <v>860</v>
      </c>
      <c r="C56" s="86" t="s">
        <v>861</v>
      </c>
      <c r="D56" s="88" t="s">
        <v>862</v>
      </c>
      <c r="E56" s="88" t="s">
        <v>863</v>
      </c>
      <c r="F56" s="89" t="s">
        <v>795</v>
      </c>
      <c r="G56" s="89" t="s">
        <v>695</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842</v>
      </c>
      <c r="B57" s="84" t="s">
        <v>864</v>
      </c>
      <c r="C57" s="86" t="s">
        <v>865</v>
      </c>
      <c r="D57" s="88" t="s">
        <v>866</v>
      </c>
      <c r="E57" s="88" t="s">
        <v>867</v>
      </c>
      <c r="F57" s="89" t="s">
        <v>678</v>
      </c>
      <c r="G57" s="89" t="s">
        <v>653</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842</v>
      </c>
      <c r="B58" s="84" t="s">
        <v>868</v>
      </c>
      <c r="C58" s="86" t="s">
        <v>869</v>
      </c>
      <c r="D58" s="88" t="s">
        <v>870</v>
      </c>
      <c r="E58" s="88" t="s">
        <v>871</v>
      </c>
      <c r="F58" s="89" t="s">
        <v>795</v>
      </c>
      <c r="G58" s="89" t="s">
        <v>695</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842</v>
      </c>
      <c r="B59" s="84" t="s">
        <v>872</v>
      </c>
      <c r="C59" s="86" t="s">
        <v>873</v>
      </c>
      <c r="D59" s="88" t="s">
        <v>874</v>
      </c>
      <c r="E59" s="88" t="s">
        <v>875</v>
      </c>
      <c r="F59" s="89" t="s">
        <v>795</v>
      </c>
      <c r="G59" s="89" t="s">
        <v>711</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876</v>
      </c>
      <c r="B60" s="83">
        <v>7</v>
      </c>
      <c r="C60" s="85" t="s">
        <v>21</v>
      </c>
      <c r="D60" s="87" t="s">
        <v>877</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876</v>
      </c>
      <c r="B61" s="84" t="s">
        <v>878</v>
      </c>
      <c r="C61" s="86" t="s">
        <v>879</v>
      </c>
      <c r="D61" s="88" t="s">
        <v>880</v>
      </c>
      <c r="E61" s="88" t="s">
        <v>881</v>
      </c>
      <c r="F61" s="89" t="s">
        <v>770</v>
      </c>
      <c r="G61" s="89" t="s">
        <v>711</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876</v>
      </c>
      <c r="B62" s="84" t="s">
        <v>882</v>
      </c>
      <c r="C62" s="86" t="s">
        <v>883</v>
      </c>
      <c r="D62" s="88" t="s">
        <v>884</v>
      </c>
      <c r="E62" s="88" t="s">
        <v>885</v>
      </c>
      <c r="F62" s="89" t="s">
        <v>770</v>
      </c>
      <c r="G62" s="89" t="s">
        <v>711</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876</v>
      </c>
      <c r="B63" s="84" t="s">
        <v>886</v>
      </c>
      <c r="C63" s="86" t="s">
        <v>887</v>
      </c>
      <c r="D63" s="88" t="s">
        <v>888</v>
      </c>
      <c r="E63" s="88" t="s">
        <v>889</v>
      </c>
      <c r="F63" s="89" t="s">
        <v>678</v>
      </c>
      <c r="G63" s="89" t="s">
        <v>695</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876</v>
      </c>
      <c r="B64" s="84" t="s">
        <v>890</v>
      </c>
      <c r="C64" s="86" t="s">
        <v>891</v>
      </c>
      <c r="D64" s="88" t="s">
        <v>892</v>
      </c>
      <c r="E64" s="88" t="s">
        <v>893</v>
      </c>
      <c r="F64" s="89" t="s">
        <v>678</v>
      </c>
      <c r="G64" s="89" t="s">
        <v>695</v>
      </c>
      <c r="H64" s="89">
        <v>1</v>
      </c>
      <c r="I64" s="91">
        <f>IF(COUNTIF(J64:AW64,"&lt;&gt;")=0,"",SUMPRODUCT(((Recommendations[ImplStatus]="Implemented")+(Recommendations[ImplStatus]="Compensated"))*ISNUMBER(MATCH(Recommendations[Id],J64:AW64,0)))/COUNTIF(J64:AW64,"&lt;&gt;"))</f>
        <v>0</v>
      </c>
      <c r="J64" s="93" t="s">
        <v>316</v>
      </c>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876</v>
      </c>
      <c r="B65" s="84" t="s">
        <v>894</v>
      </c>
      <c r="C65" s="86" t="s">
        <v>895</v>
      </c>
      <c r="D65" s="88" t="s">
        <v>896</v>
      </c>
      <c r="E65" s="88" t="s">
        <v>897</v>
      </c>
      <c r="F65" s="89" t="s">
        <v>678</v>
      </c>
      <c r="G65" s="89" t="s">
        <v>653</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876</v>
      </c>
      <c r="B66" s="84" t="s">
        <v>898</v>
      </c>
      <c r="C66" s="86" t="s">
        <v>899</v>
      </c>
      <c r="D66" s="88" t="s">
        <v>900</v>
      </c>
      <c r="E66" s="88" t="s">
        <v>901</v>
      </c>
      <c r="F66" s="89" t="s">
        <v>678</v>
      </c>
      <c r="G66" s="89" t="s">
        <v>653</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876</v>
      </c>
      <c r="B67" s="84" t="s">
        <v>902</v>
      </c>
      <c r="C67" s="86" t="s">
        <v>903</v>
      </c>
      <c r="D67" s="88" t="s">
        <v>904</v>
      </c>
      <c r="E67" s="88" t="s">
        <v>905</v>
      </c>
      <c r="F67" s="89" t="s">
        <v>678</v>
      </c>
      <c r="G67" s="89" t="s">
        <v>658</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906</v>
      </c>
      <c r="B68" s="83">
        <v>8</v>
      </c>
      <c r="C68" s="85" t="s">
        <v>21</v>
      </c>
      <c r="D68" s="87" t="s">
        <v>907</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906</v>
      </c>
      <c r="B69" s="84" t="s">
        <v>908</v>
      </c>
      <c r="C69" s="86" t="s">
        <v>909</v>
      </c>
      <c r="D69" s="88" t="s">
        <v>910</v>
      </c>
      <c r="E69" s="88" t="s">
        <v>911</v>
      </c>
      <c r="F69" s="89" t="s">
        <v>770</v>
      </c>
      <c r="G69" s="89" t="s">
        <v>711</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906</v>
      </c>
      <c r="B70" s="84" t="s">
        <v>912</v>
      </c>
      <c r="C70" s="86" t="s">
        <v>913</v>
      </c>
      <c r="D70" s="88" t="s">
        <v>914</v>
      </c>
      <c r="E70" s="88" t="s">
        <v>915</v>
      </c>
      <c r="F70" s="89" t="s">
        <v>710</v>
      </c>
      <c r="G70" s="89" t="s">
        <v>663</v>
      </c>
      <c r="H70" s="89">
        <v>1</v>
      </c>
      <c r="I70" s="91">
        <f>IF(COUNTIF(J70:AW70,"&lt;&gt;")=0,"",SUMPRODUCT(((Recommendations[ImplStatus]="Implemented")+(Recommendations[ImplStatus]="Compensated"))*ISNUMBER(MATCH(Recommendations[Id],J70:AW70,0)))/COUNTIF(J70:AW70,"&lt;&gt;"))</f>
        <v>0</v>
      </c>
      <c r="J70" s="93" t="s">
        <v>14</v>
      </c>
      <c r="K70" s="93" t="s">
        <v>67</v>
      </c>
      <c r="L70" s="93" t="s">
        <v>182</v>
      </c>
      <c r="M70" s="93" t="s">
        <v>188</v>
      </c>
      <c r="N70" s="93" t="s">
        <v>281</v>
      </c>
      <c r="O70" s="93" t="s">
        <v>286</v>
      </c>
      <c r="P70" s="93" t="s">
        <v>291</v>
      </c>
      <c r="Q70" s="93" t="s">
        <v>312</v>
      </c>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906</v>
      </c>
      <c r="B71" s="84" t="s">
        <v>916</v>
      </c>
      <c r="C71" s="86" t="s">
        <v>917</v>
      </c>
      <c r="D71" s="88" t="s">
        <v>918</v>
      </c>
      <c r="E71" s="88" t="s">
        <v>919</v>
      </c>
      <c r="F71" s="89" t="s">
        <v>710</v>
      </c>
      <c r="G71" s="89" t="s">
        <v>695</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906</v>
      </c>
      <c r="B72" s="84" t="s">
        <v>920</v>
      </c>
      <c r="C72" s="86" t="s">
        <v>921</v>
      </c>
      <c r="D72" s="88" t="s">
        <v>922</v>
      </c>
      <c r="E72" s="88" t="s">
        <v>923</v>
      </c>
      <c r="F72" s="89" t="s">
        <v>924</v>
      </c>
      <c r="G72" s="89" t="s">
        <v>695</v>
      </c>
      <c r="H72" s="89">
        <v>2</v>
      </c>
      <c r="I72" s="91">
        <f>IF(COUNTIF(J72:AW72,"&lt;&gt;")=0,"",SUMPRODUCT(((Recommendations[ImplStatus]="Implemented")+(Recommendations[ImplStatus]="Compensated"))*ISNUMBER(MATCH(Recommendations[Id],J72:AW72,0)))/COUNTIF(J72:AW72,"&lt;&gt;"))</f>
        <v>0</v>
      </c>
      <c r="J72" s="93" t="s">
        <v>262</v>
      </c>
      <c r="K72" s="93" t="s">
        <v>267</v>
      </c>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906</v>
      </c>
      <c r="B73" s="84" t="s">
        <v>925</v>
      </c>
      <c r="C73" s="86" t="s">
        <v>926</v>
      </c>
      <c r="D73" s="88" t="s">
        <v>927</v>
      </c>
      <c r="E73" s="88" t="s">
        <v>928</v>
      </c>
      <c r="F73" s="89" t="s">
        <v>710</v>
      </c>
      <c r="G73" s="89" t="s">
        <v>663</v>
      </c>
      <c r="H73" s="89">
        <v>2</v>
      </c>
      <c r="I73" s="91">
        <f>IF(COUNTIF(J73:AW73,"&lt;&gt;")=0,"",SUMPRODUCT(((Recommendations[ImplStatus]="Implemented")+(Recommendations[ImplStatus]="Compensated"))*ISNUMBER(MATCH(Recommendations[Id],J73:AW73,0)))/COUNTIF(J73:AW73,"&lt;&gt;"))</f>
        <v>0</v>
      </c>
      <c r="J73" s="93" t="s">
        <v>14</v>
      </c>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906</v>
      </c>
      <c r="B74" s="84" t="s">
        <v>929</v>
      </c>
      <c r="C74" s="86" t="s">
        <v>930</v>
      </c>
      <c r="D74" s="88" t="s">
        <v>931</v>
      </c>
      <c r="E74" s="88" t="s">
        <v>932</v>
      </c>
      <c r="F74" s="89" t="s">
        <v>710</v>
      </c>
      <c r="G74" s="89" t="s">
        <v>663</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906</v>
      </c>
      <c r="B75" s="84" t="s">
        <v>933</v>
      </c>
      <c r="C75" s="86" t="s">
        <v>934</v>
      </c>
      <c r="D75" s="88" t="s">
        <v>935</v>
      </c>
      <c r="E75" s="88" t="s">
        <v>936</v>
      </c>
      <c r="F75" s="89" t="s">
        <v>710</v>
      </c>
      <c r="G75" s="89" t="s">
        <v>663</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906</v>
      </c>
      <c r="B76" s="84" t="s">
        <v>937</v>
      </c>
      <c r="C76" s="86" t="s">
        <v>938</v>
      </c>
      <c r="D76" s="88" t="s">
        <v>939</v>
      </c>
      <c r="E76" s="88" t="s">
        <v>940</v>
      </c>
      <c r="F76" s="89" t="s">
        <v>710</v>
      </c>
      <c r="G76" s="89" t="s">
        <v>663</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906</v>
      </c>
      <c r="B77" s="84" t="s">
        <v>941</v>
      </c>
      <c r="C77" s="86" t="s">
        <v>942</v>
      </c>
      <c r="D77" s="88" t="s">
        <v>943</v>
      </c>
      <c r="E77" s="88" t="s">
        <v>944</v>
      </c>
      <c r="F77" s="89" t="s">
        <v>710</v>
      </c>
      <c r="G77" s="89" t="s">
        <v>663</v>
      </c>
      <c r="H77" s="89">
        <v>2</v>
      </c>
      <c r="I77" s="91">
        <f>IF(COUNTIF(J77:AW77,"&lt;&gt;")=0,"",SUMPRODUCT(((Recommendations[ImplStatus]="Implemented")+(Recommendations[ImplStatus]="Compensated"))*ISNUMBER(MATCH(Recommendations[Id],J77:AW77,0)))/COUNTIF(J77:AW77,"&lt;&gt;"))</f>
        <v>0</v>
      </c>
      <c r="J77" s="93" t="s">
        <v>36</v>
      </c>
      <c r="K77" s="93" t="s">
        <v>205</v>
      </c>
      <c r="L77" s="93" t="s">
        <v>286</v>
      </c>
      <c r="M77" s="93" t="s">
        <v>291</v>
      </c>
      <c r="N77" s="93" t="s">
        <v>312</v>
      </c>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906</v>
      </c>
      <c r="B78" s="84" t="s">
        <v>945</v>
      </c>
      <c r="C78" s="86" t="s">
        <v>946</v>
      </c>
      <c r="D78" s="88" t="s">
        <v>947</v>
      </c>
      <c r="E78" s="88" t="s">
        <v>948</v>
      </c>
      <c r="F78" s="89" t="s">
        <v>710</v>
      </c>
      <c r="G78" s="89" t="s">
        <v>695</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906</v>
      </c>
      <c r="B79" s="84" t="s">
        <v>949</v>
      </c>
      <c r="C79" s="86" t="s">
        <v>950</v>
      </c>
      <c r="D79" s="88" t="s">
        <v>951</v>
      </c>
      <c r="E79" s="88" t="s">
        <v>952</v>
      </c>
      <c r="F79" s="89" t="s">
        <v>710</v>
      </c>
      <c r="G79" s="89" t="s">
        <v>663</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906</v>
      </c>
      <c r="B80" s="84" t="s">
        <v>953</v>
      </c>
      <c r="C80" s="86" t="s">
        <v>954</v>
      </c>
      <c r="D80" s="88" t="s">
        <v>955</v>
      </c>
      <c r="E80" s="88" t="s">
        <v>956</v>
      </c>
      <c r="F80" s="89" t="s">
        <v>710</v>
      </c>
      <c r="G80" s="89" t="s">
        <v>663</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957</v>
      </c>
      <c r="B81" s="83">
        <v>9</v>
      </c>
      <c r="C81" s="85" t="s">
        <v>21</v>
      </c>
      <c r="D81" s="87" t="s">
        <v>958</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957</v>
      </c>
      <c r="B82" s="84" t="s">
        <v>959</v>
      </c>
      <c r="C82" s="86" t="s">
        <v>960</v>
      </c>
      <c r="D82" s="88" t="s">
        <v>961</v>
      </c>
      <c r="E82" s="88" t="s">
        <v>962</v>
      </c>
      <c r="F82" s="89" t="s">
        <v>678</v>
      </c>
      <c r="G82" s="89" t="s">
        <v>695</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957</v>
      </c>
      <c r="B83" s="84" t="s">
        <v>963</v>
      </c>
      <c r="C83" s="86" t="s">
        <v>964</v>
      </c>
      <c r="D83" s="88" t="s">
        <v>965</v>
      </c>
      <c r="E83" s="88" t="s">
        <v>966</v>
      </c>
      <c r="F83" s="89" t="s">
        <v>652</v>
      </c>
      <c r="G83" s="89" t="s">
        <v>695</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957</v>
      </c>
      <c r="B84" s="84" t="s">
        <v>967</v>
      </c>
      <c r="C84" s="86" t="s">
        <v>968</v>
      </c>
      <c r="D84" s="88" t="s">
        <v>969</v>
      </c>
      <c r="E84" s="88" t="s">
        <v>970</v>
      </c>
      <c r="F84" s="89" t="s">
        <v>924</v>
      </c>
      <c r="G84" s="89" t="s">
        <v>695</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957</v>
      </c>
      <c r="B85" s="84" t="s">
        <v>971</v>
      </c>
      <c r="C85" s="86" t="s">
        <v>972</v>
      </c>
      <c r="D85" s="88" t="s">
        <v>973</v>
      </c>
      <c r="E85" s="88" t="s">
        <v>974</v>
      </c>
      <c r="F85" s="89" t="s">
        <v>678</v>
      </c>
      <c r="G85" s="89" t="s">
        <v>695</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957</v>
      </c>
      <c r="B86" s="84" t="s">
        <v>975</v>
      </c>
      <c r="C86" s="86" t="s">
        <v>976</v>
      </c>
      <c r="D86" s="88" t="s">
        <v>977</v>
      </c>
      <c r="E86" s="88" t="s">
        <v>978</v>
      </c>
      <c r="F86" s="89" t="s">
        <v>924</v>
      </c>
      <c r="G86" s="89" t="s">
        <v>695</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957</v>
      </c>
      <c r="B87" s="84" t="s">
        <v>979</v>
      </c>
      <c r="C87" s="86" t="s">
        <v>980</v>
      </c>
      <c r="D87" s="88" t="s">
        <v>981</v>
      </c>
      <c r="E87" s="88" t="s">
        <v>982</v>
      </c>
      <c r="F87" s="89" t="s">
        <v>924</v>
      </c>
      <c r="G87" s="89" t="s">
        <v>695</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957</v>
      </c>
      <c r="B88" s="84" t="s">
        <v>983</v>
      </c>
      <c r="C88" s="86" t="s">
        <v>984</v>
      </c>
      <c r="D88" s="88" t="s">
        <v>985</v>
      </c>
      <c r="E88" s="88" t="s">
        <v>986</v>
      </c>
      <c r="F88" s="89" t="s">
        <v>924</v>
      </c>
      <c r="G88" s="89" t="s">
        <v>695</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987</v>
      </c>
      <c r="B89" s="83">
        <v>10</v>
      </c>
      <c r="C89" s="85" t="s">
        <v>21</v>
      </c>
      <c r="D89" s="87" t="s">
        <v>988</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987</v>
      </c>
      <c r="B90" s="84" t="s">
        <v>989</v>
      </c>
      <c r="C90" s="86" t="s">
        <v>990</v>
      </c>
      <c r="D90" s="88" t="s">
        <v>991</v>
      </c>
      <c r="E90" s="88" t="s">
        <v>992</v>
      </c>
      <c r="F90" s="89" t="s">
        <v>652</v>
      </c>
      <c r="G90" s="89" t="s">
        <v>663</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987</v>
      </c>
      <c r="B91" s="84" t="s">
        <v>993</v>
      </c>
      <c r="C91" s="86" t="s">
        <v>994</v>
      </c>
      <c r="D91" s="88" t="s">
        <v>995</v>
      </c>
      <c r="E91" s="88" t="s">
        <v>996</v>
      </c>
      <c r="F91" s="89" t="s">
        <v>652</v>
      </c>
      <c r="G91" s="89" t="s">
        <v>695</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987</v>
      </c>
      <c r="B92" s="84" t="s">
        <v>997</v>
      </c>
      <c r="C92" s="86" t="s">
        <v>998</v>
      </c>
      <c r="D92" s="88" t="s">
        <v>999</v>
      </c>
      <c r="E92" s="88" t="s">
        <v>1000</v>
      </c>
      <c r="F92" s="89" t="s">
        <v>652</v>
      </c>
      <c r="G92" s="89" t="s">
        <v>695</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987</v>
      </c>
      <c r="B93" s="84" t="s">
        <v>1001</v>
      </c>
      <c r="C93" s="86" t="s">
        <v>1002</v>
      </c>
      <c r="D93" s="88" t="s">
        <v>1003</v>
      </c>
      <c r="E93" s="88" t="s">
        <v>1004</v>
      </c>
      <c r="F93" s="89" t="s">
        <v>652</v>
      </c>
      <c r="G93" s="89" t="s">
        <v>663</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987</v>
      </c>
      <c r="B94" s="84" t="s">
        <v>1005</v>
      </c>
      <c r="C94" s="86" t="s">
        <v>1006</v>
      </c>
      <c r="D94" s="88" t="s">
        <v>1007</v>
      </c>
      <c r="E94" s="88" t="s">
        <v>1008</v>
      </c>
      <c r="F94" s="89" t="s">
        <v>652</v>
      </c>
      <c r="G94" s="89" t="s">
        <v>695</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987</v>
      </c>
      <c r="B95" s="84" t="s">
        <v>1009</v>
      </c>
      <c r="C95" s="86" t="s">
        <v>1010</v>
      </c>
      <c r="D95" s="88" t="s">
        <v>1011</v>
      </c>
      <c r="E95" s="88" t="s">
        <v>1012</v>
      </c>
      <c r="F95" s="89" t="s">
        <v>652</v>
      </c>
      <c r="G95" s="89" t="s">
        <v>695</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987</v>
      </c>
      <c r="B96" s="84" t="s">
        <v>1013</v>
      </c>
      <c r="C96" s="86" t="s">
        <v>1014</v>
      </c>
      <c r="D96" s="88" t="s">
        <v>1015</v>
      </c>
      <c r="E96" s="88" t="s">
        <v>1016</v>
      </c>
      <c r="F96" s="89" t="s">
        <v>652</v>
      </c>
      <c r="G96" s="89" t="s">
        <v>663</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1017</v>
      </c>
      <c r="B97" s="83">
        <v>11</v>
      </c>
      <c r="C97" s="85" t="s">
        <v>21</v>
      </c>
      <c r="D97" s="87" t="s">
        <v>1018</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1017</v>
      </c>
      <c r="B98" s="84" t="s">
        <v>1019</v>
      </c>
      <c r="C98" s="86" t="s">
        <v>1020</v>
      </c>
      <c r="D98" s="88" t="s">
        <v>1021</v>
      </c>
      <c r="E98" s="88" t="s">
        <v>1022</v>
      </c>
      <c r="F98" s="89" t="s">
        <v>770</v>
      </c>
      <c r="G98" s="89" t="s">
        <v>711</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1017</v>
      </c>
      <c r="B99" s="84" t="s">
        <v>1023</v>
      </c>
      <c r="C99" s="86" t="s">
        <v>1024</v>
      </c>
      <c r="D99" s="88" t="s">
        <v>1025</v>
      </c>
      <c r="E99" s="88" t="s">
        <v>1026</v>
      </c>
      <c r="F99" s="89" t="s">
        <v>710</v>
      </c>
      <c r="G99" s="89" t="s">
        <v>1027</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1017</v>
      </c>
      <c r="B100" s="84" t="s">
        <v>1028</v>
      </c>
      <c r="C100" s="86" t="s">
        <v>1029</v>
      </c>
      <c r="D100" s="88" t="s">
        <v>1030</v>
      </c>
      <c r="E100" s="88" t="s">
        <v>1031</v>
      </c>
      <c r="F100" s="89" t="s">
        <v>710</v>
      </c>
      <c r="G100" s="89" t="s">
        <v>695</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1017</v>
      </c>
      <c r="B101" s="84" t="s">
        <v>1032</v>
      </c>
      <c r="C101" s="86" t="s">
        <v>1033</v>
      </c>
      <c r="D101" s="88" t="s">
        <v>1034</v>
      </c>
      <c r="E101" s="88" t="s">
        <v>1035</v>
      </c>
      <c r="F101" s="89" t="s">
        <v>710</v>
      </c>
      <c r="G101" s="89" t="s">
        <v>1027</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1017</v>
      </c>
      <c r="B102" s="84" t="s">
        <v>1036</v>
      </c>
      <c r="C102" s="86" t="s">
        <v>1037</v>
      </c>
      <c r="D102" s="88" t="s">
        <v>1038</v>
      </c>
      <c r="E102" s="88" t="s">
        <v>1039</v>
      </c>
      <c r="F102" s="89" t="s">
        <v>710</v>
      </c>
      <c r="G102" s="89" t="s">
        <v>1027</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1040</v>
      </c>
      <c r="B103" s="83">
        <v>12</v>
      </c>
      <c r="C103" s="85" t="s">
        <v>21</v>
      </c>
      <c r="D103" s="87" t="s">
        <v>1041</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1040</v>
      </c>
      <c r="B104" s="84" t="s">
        <v>1042</v>
      </c>
      <c r="C104" s="86" t="s">
        <v>1043</v>
      </c>
      <c r="D104" s="88" t="s">
        <v>1044</v>
      </c>
      <c r="E104" s="88" t="s">
        <v>1045</v>
      </c>
      <c r="F104" s="89" t="s">
        <v>924</v>
      </c>
      <c r="G104" s="89" t="s">
        <v>695</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1040</v>
      </c>
      <c r="B105" s="84" t="s">
        <v>1046</v>
      </c>
      <c r="C105" s="86" t="s">
        <v>1047</v>
      </c>
      <c r="D105" s="88" t="s">
        <v>1048</v>
      </c>
      <c r="E105" s="88" t="s">
        <v>1049</v>
      </c>
      <c r="F105" s="89" t="s">
        <v>924</v>
      </c>
      <c r="G105" s="89" t="s">
        <v>695</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1040</v>
      </c>
      <c r="B106" s="84" t="s">
        <v>1050</v>
      </c>
      <c r="C106" s="86" t="s">
        <v>1051</v>
      </c>
      <c r="D106" s="88" t="s">
        <v>1052</v>
      </c>
      <c r="E106" s="88" t="s">
        <v>1053</v>
      </c>
      <c r="F106" s="89" t="s">
        <v>924</v>
      </c>
      <c r="G106" s="89" t="s">
        <v>695</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1040</v>
      </c>
      <c r="B107" s="84" t="s">
        <v>1054</v>
      </c>
      <c r="C107" s="86" t="s">
        <v>1055</v>
      </c>
      <c r="D107" s="88" t="s">
        <v>1056</v>
      </c>
      <c r="E107" s="88" t="s">
        <v>1057</v>
      </c>
      <c r="F107" s="89" t="s">
        <v>770</v>
      </c>
      <c r="G107" s="89" t="s">
        <v>711</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1040</v>
      </c>
      <c r="B108" s="84" t="s">
        <v>1058</v>
      </c>
      <c r="C108" s="86" t="s">
        <v>1059</v>
      </c>
      <c r="D108" s="88" t="s">
        <v>1060</v>
      </c>
      <c r="E108" s="88" t="s">
        <v>1061</v>
      </c>
      <c r="F108" s="89" t="s">
        <v>924</v>
      </c>
      <c r="G108" s="89" t="s">
        <v>695</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1040</v>
      </c>
      <c r="B109" s="84" t="s">
        <v>1062</v>
      </c>
      <c r="C109" s="86" t="s">
        <v>1063</v>
      </c>
      <c r="D109" s="88" t="s">
        <v>1064</v>
      </c>
      <c r="E109" s="88" t="s">
        <v>1065</v>
      </c>
      <c r="F109" s="89" t="s">
        <v>924</v>
      </c>
      <c r="G109" s="89" t="s">
        <v>695</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1040</v>
      </c>
      <c r="B110" s="84" t="s">
        <v>1066</v>
      </c>
      <c r="C110" s="86" t="s">
        <v>1067</v>
      </c>
      <c r="D110" s="88" t="s">
        <v>1068</v>
      </c>
      <c r="E110" s="88" t="s">
        <v>1069</v>
      </c>
      <c r="F110" s="89" t="s">
        <v>652</v>
      </c>
      <c r="G110" s="89" t="s">
        <v>695</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1040</v>
      </c>
      <c r="B111" s="84" t="s">
        <v>1070</v>
      </c>
      <c r="C111" s="86" t="s">
        <v>1071</v>
      </c>
      <c r="D111" s="88" t="s">
        <v>1072</v>
      </c>
      <c r="E111" s="88" t="s">
        <v>1073</v>
      </c>
      <c r="F111" s="89" t="s">
        <v>652</v>
      </c>
      <c r="G111" s="89" t="s">
        <v>695</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1074</v>
      </c>
      <c r="B112" s="83">
        <v>13</v>
      </c>
      <c r="C112" s="85" t="s">
        <v>21</v>
      </c>
      <c r="D112" s="87" t="s">
        <v>1075</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1074</v>
      </c>
      <c r="B113" s="84" t="s">
        <v>1076</v>
      </c>
      <c r="C113" s="86" t="s">
        <v>1077</v>
      </c>
      <c r="D113" s="88" t="s">
        <v>1078</v>
      </c>
      <c r="E113" s="88" t="s">
        <v>1079</v>
      </c>
      <c r="F113" s="89" t="s">
        <v>924</v>
      </c>
      <c r="G113" s="89" t="s">
        <v>663</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1074</v>
      </c>
      <c r="B114" s="84" t="s">
        <v>1080</v>
      </c>
      <c r="C114" s="86" t="s">
        <v>1081</v>
      </c>
      <c r="D114" s="88" t="s">
        <v>1082</v>
      </c>
      <c r="E114" s="88" t="s">
        <v>1083</v>
      </c>
      <c r="F114" s="89" t="s">
        <v>652</v>
      </c>
      <c r="G114" s="89" t="s">
        <v>663</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1074</v>
      </c>
      <c r="B115" s="84" t="s">
        <v>1084</v>
      </c>
      <c r="C115" s="86" t="s">
        <v>1085</v>
      </c>
      <c r="D115" s="88" t="s">
        <v>1086</v>
      </c>
      <c r="E115" s="88" t="s">
        <v>1087</v>
      </c>
      <c r="F115" s="89" t="s">
        <v>924</v>
      </c>
      <c r="G115" s="89" t="s">
        <v>663</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1074</v>
      </c>
      <c r="B116" s="84" t="s">
        <v>1088</v>
      </c>
      <c r="C116" s="86" t="s">
        <v>1089</v>
      </c>
      <c r="D116" s="88" t="s">
        <v>1090</v>
      </c>
      <c r="E116" s="88" t="s">
        <v>1091</v>
      </c>
      <c r="F116" s="89" t="s">
        <v>924</v>
      </c>
      <c r="G116" s="89" t="s">
        <v>695</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1074</v>
      </c>
      <c r="B117" s="84" t="s">
        <v>1092</v>
      </c>
      <c r="C117" s="86" t="s">
        <v>1093</v>
      </c>
      <c r="D117" s="88" t="s">
        <v>1094</v>
      </c>
      <c r="E117" s="88" t="s">
        <v>1095</v>
      </c>
      <c r="F117" s="89" t="s">
        <v>652</v>
      </c>
      <c r="G117" s="89" t="s">
        <v>695</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1074</v>
      </c>
      <c r="B118" s="84" t="s">
        <v>1096</v>
      </c>
      <c r="C118" s="86" t="s">
        <v>1097</v>
      </c>
      <c r="D118" s="88" t="s">
        <v>1098</v>
      </c>
      <c r="E118" s="88" t="s">
        <v>1099</v>
      </c>
      <c r="F118" s="89" t="s">
        <v>924</v>
      </c>
      <c r="G118" s="89" t="s">
        <v>663</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1074</v>
      </c>
      <c r="B119" s="84" t="s">
        <v>1100</v>
      </c>
      <c r="C119" s="86" t="s">
        <v>1101</v>
      </c>
      <c r="D119" s="88" t="s">
        <v>1102</v>
      </c>
      <c r="E119" s="88" t="s">
        <v>1103</v>
      </c>
      <c r="F119" s="89" t="s">
        <v>652</v>
      </c>
      <c r="G119" s="89" t="s">
        <v>695</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1074</v>
      </c>
      <c r="B120" s="84" t="s">
        <v>1104</v>
      </c>
      <c r="C120" s="86" t="s">
        <v>1105</v>
      </c>
      <c r="D120" s="88" t="s">
        <v>1106</v>
      </c>
      <c r="E120" s="88" t="s">
        <v>1107</v>
      </c>
      <c r="F120" s="89" t="s">
        <v>924</v>
      </c>
      <c r="G120" s="89" t="s">
        <v>695</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1074</v>
      </c>
      <c r="B121" s="84" t="s">
        <v>1108</v>
      </c>
      <c r="C121" s="86" t="s">
        <v>1109</v>
      </c>
      <c r="D121" s="88" t="s">
        <v>1110</v>
      </c>
      <c r="E121" s="88" t="s">
        <v>1111</v>
      </c>
      <c r="F121" s="89" t="s">
        <v>924</v>
      </c>
      <c r="G121" s="89" t="s">
        <v>695</v>
      </c>
      <c r="H121" s="89">
        <v>3</v>
      </c>
      <c r="I121" s="91">
        <f>IF(COUNTIF(J121:AW121,"&lt;&gt;")=0,"",SUMPRODUCT(((Recommendations[ImplStatus]="Implemented")+(Recommendations[ImplStatus]="Compensated"))*ISNUMBER(MATCH(Recommendations[Id],J121:AW121,0)))/COUNTIF(J121:AW121,"&lt;&gt;"))</f>
        <v>0</v>
      </c>
      <c r="J121" s="93" t="s">
        <v>41</v>
      </c>
      <c r="K121" s="93" t="s">
        <v>87</v>
      </c>
      <c r="L121" s="93" t="s">
        <v>123</v>
      </c>
      <c r="M121" s="93" t="s">
        <v>164</v>
      </c>
      <c r="N121" s="93" t="s">
        <v>209</v>
      </c>
      <c r="O121" s="93" t="s">
        <v>232</v>
      </c>
      <c r="P121" s="93" t="s">
        <v>276</v>
      </c>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1074</v>
      </c>
      <c r="B122" s="84" t="s">
        <v>1112</v>
      </c>
      <c r="C122" s="86" t="s">
        <v>1113</v>
      </c>
      <c r="D122" s="88" t="s">
        <v>1114</v>
      </c>
      <c r="E122" s="88" t="s">
        <v>1115</v>
      </c>
      <c r="F122" s="89" t="s">
        <v>924</v>
      </c>
      <c r="G122" s="89" t="s">
        <v>695</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1074</v>
      </c>
      <c r="B123" s="84" t="s">
        <v>1116</v>
      </c>
      <c r="C123" s="86" t="s">
        <v>1117</v>
      </c>
      <c r="D123" s="88" t="s">
        <v>1118</v>
      </c>
      <c r="E123" s="88" t="s">
        <v>1119</v>
      </c>
      <c r="F123" s="89" t="s">
        <v>924</v>
      </c>
      <c r="G123" s="89" t="s">
        <v>663</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1120</v>
      </c>
      <c r="B124" s="83">
        <v>14</v>
      </c>
      <c r="C124" s="85" t="s">
        <v>21</v>
      </c>
      <c r="D124" s="87" t="s">
        <v>1121</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1120</v>
      </c>
      <c r="B125" s="84" t="s">
        <v>1122</v>
      </c>
      <c r="C125" s="86" t="s">
        <v>1123</v>
      </c>
      <c r="D125" s="88" t="s">
        <v>1124</v>
      </c>
      <c r="E125" s="88" t="s">
        <v>1125</v>
      </c>
      <c r="F125" s="89" t="s">
        <v>770</v>
      </c>
      <c r="G125" s="89" t="s">
        <v>711</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1120</v>
      </c>
      <c r="B126" s="84" t="s">
        <v>1126</v>
      </c>
      <c r="C126" s="86" t="s">
        <v>1127</v>
      </c>
      <c r="D126" s="88" t="s">
        <v>1128</v>
      </c>
      <c r="E126" s="88" t="s">
        <v>1129</v>
      </c>
      <c r="F126" s="89" t="s">
        <v>795</v>
      </c>
      <c r="G126" s="89" t="s">
        <v>695</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1120</v>
      </c>
      <c r="B127" s="84" t="s">
        <v>1130</v>
      </c>
      <c r="C127" s="86" t="s">
        <v>1131</v>
      </c>
      <c r="D127" s="88" t="s">
        <v>1132</v>
      </c>
      <c r="E127" s="88" t="s">
        <v>1133</v>
      </c>
      <c r="F127" s="89" t="s">
        <v>795</v>
      </c>
      <c r="G127" s="89" t="s">
        <v>695</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1120</v>
      </c>
      <c r="B128" s="84" t="s">
        <v>1134</v>
      </c>
      <c r="C128" s="86" t="s">
        <v>1135</v>
      </c>
      <c r="D128" s="88" t="s">
        <v>1136</v>
      </c>
      <c r="E128" s="88" t="s">
        <v>1137</v>
      </c>
      <c r="F128" s="89" t="s">
        <v>795</v>
      </c>
      <c r="G128" s="89" t="s">
        <v>695</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1120</v>
      </c>
      <c r="B129" s="84" t="s">
        <v>1138</v>
      </c>
      <c r="C129" s="86" t="s">
        <v>1139</v>
      </c>
      <c r="D129" s="88" t="s">
        <v>1140</v>
      </c>
      <c r="E129" s="88" t="s">
        <v>1141</v>
      </c>
      <c r="F129" s="89" t="s">
        <v>795</v>
      </c>
      <c r="G129" s="89" t="s">
        <v>695</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1120</v>
      </c>
      <c r="B130" s="84" t="s">
        <v>1142</v>
      </c>
      <c r="C130" s="86" t="s">
        <v>1143</v>
      </c>
      <c r="D130" s="88" t="s">
        <v>1144</v>
      </c>
      <c r="E130" s="88" t="s">
        <v>1145</v>
      </c>
      <c r="F130" s="89" t="s">
        <v>795</v>
      </c>
      <c r="G130" s="89" t="s">
        <v>695</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1120</v>
      </c>
      <c r="B131" s="84" t="s">
        <v>1146</v>
      </c>
      <c r="C131" s="86" t="s">
        <v>1147</v>
      </c>
      <c r="D131" s="88" t="s">
        <v>1148</v>
      </c>
      <c r="E131" s="88" t="s">
        <v>1149</v>
      </c>
      <c r="F131" s="89" t="s">
        <v>795</v>
      </c>
      <c r="G131" s="89" t="s">
        <v>695</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1120</v>
      </c>
      <c r="B132" s="84" t="s">
        <v>1150</v>
      </c>
      <c r="C132" s="86" t="s">
        <v>1151</v>
      </c>
      <c r="D132" s="88" t="s">
        <v>1152</v>
      </c>
      <c r="E132" s="88" t="s">
        <v>1153</v>
      </c>
      <c r="F132" s="89" t="s">
        <v>795</v>
      </c>
      <c r="G132" s="89" t="s">
        <v>695</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1120</v>
      </c>
      <c r="B133" s="84" t="s">
        <v>1154</v>
      </c>
      <c r="C133" s="86" t="s">
        <v>1155</v>
      </c>
      <c r="D133" s="88" t="s">
        <v>1156</v>
      </c>
      <c r="E133" s="88" t="s">
        <v>1157</v>
      </c>
      <c r="F133" s="89" t="s">
        <v>795</v>
      </c>
      <c r="G133" s="89" t="s">
        <v>695</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1158</v>
      </c>
      <c r="B134" s="83">
        <v>15</v>
      </c>
      <c r="C134" s="85" t="s">
        <v>21</v>
      </c>
      <c r="D134" s="87" t="s">
        <v>1159</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1158</v>
      </c>
      <c r="B135" s="84" t="s">
        <v>1160</v>
      </c>
      <c r="C135" s="86" t="s">
        <v>1161</v>
      </c>
      <c r="D135" s="88" t="s">
        <v>1162</v>
      </c>
      <c r="E135" s="88" t="s">
        <v>1163</v>
      </c>
      <c r="F135" s="89" t="s">
        <v>795</v>
      </c>
      <c r="G135" s="89" t="s">
        <v>653</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1158</v>
      </c>
      <c r="B136" s="84" t="s">
        <v>1164</v>
      </c>
      <c r="C136" s="86" t="s">
        <v>1165</v>
      </c>
      <c r="D136" s="88" t="s">
        <v>1166</v>
      </c>
      <c r="E136" s="88" t="s">
        <v>1167</v>
      </c>
      <c r="F136" s="89" t="s">
        <v>770</v>
      </c>
      <c r="G136" s="89" t="s">
        <v>711</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1158</v>
      </c>
      <c r="B137" s="84" t="s">
        <v>1168</v>
      </c>
      <c r="C137" s="86" t="s">
        <v>1169</v>
      </c>
      <c r="D137" s="88" t="s">
        <v>1170</v>
      </c>
      <c r="E137" s="88" t="s">
        <v>1171</v>
      </c>
      <c r="F137" s="89" t="s">
        <v>795</v>
      </c>
      <c r="G137" s="89" t="s">
        <v>711</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1158</v>
      </c>
      <c r="B138" s="84" t="s">
        <v>1172</v>
      </c>
      <c r="C138" s="86" t="s">
        <v>1173</v>
      </c>
      <c r="D138" s="88" t="s">
        <v>1174</v>
      </c>
      <c r="E138" s="88" t="s">
        <v>1175</v>
      </c>
      <c r="F138" s="89" t="s">
        <v>770</v>
      </c>
      <c r="G138" s="89" t="s">
        <v>711</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1158</v>
      </c>
      <c r="B139" s="84" t="s">
        <v>1176</v>
      </c>
      <c r="C139" s="86" t="s">
        <v>1177</v>
      </c>
      <c r="D139" s="88" t="s">
        <v>1178</v>
      </c>
      <c r="E139" s="88" t="s">
        <v>1179</v>
      </c>
      <c r="F139" s="89" t="s">
        <v>795</v>
      </c>
      <c r="G139" s="89" t="s">
        <v>711</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1158</v>
      </c>
      <c r="B140" s="84" t="s">
        <v>1180</v>
      </c>
      <c r="C140" s="86" t="s">
        <v>1181</v>
      </c>
      <c r="D140" s="88" t="s">
        <v>1182</v>
      </c>
      <c r="E140" s="88" t="s">
        <v>1183</v>
      </c>
      <c r="F140" s="89" t="s">
        <v>710</v>
      </c>
      <c r="G140" s="89" t="s">
        <v>711</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1158</v>
      </c>
      <c r="B141" s="84" t="s">
        <v>1184</v>
      </c>
      <c r="C141" s="86" t="s">
        <v>1185</v>
      </c>
      <c r="D141" s="88" t="s">
        <v>1186</v>
      </c>
      <c r="E141" s="88" t="s">
        <v>1187</v>
      </c>
      <c r="F141" s="89" t="s">
        <v>710</v>
      </c>
      <c r="G141" s="89" t="s">
        <v>695</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1188</v>
      </c>
      <c r="B142" s="83">
        <v>16</v>
      </c>
      <c r="C142" s="85" t="s">
        <v>21</v>
      </c>
      <c r="D142" s="87" t="s">
        <v>1189</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1188</v>
      </c>
      <c r="B143" s="84" t="s">
        <v>1190</v>
      </c>
      <c r="C143" s="86" t="s">
        <v>1191</v>
      </c>
      <c r="D143" s="88" t="s">
        <v>1192</v>
      </c>
      <c r="E143" s="88" t="s">
        <v>1193</v>
      </c>
      <c r="F143" s="89" t="s">
        <v>770</v>
      </c>
      <c r="G143" s="89" t="s">
        <v>711</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1188</v>
      </c>
      <c r="B144" s="84" t="s">
        <v>1194</v>
      </c>
      <c r="C144" s="86" t="s">
        <v>1195</v>
      </c>
      <c r="D144" s="88" t="s">
        <v>1196</v>
      </c>
      <c r="E144" s="88" t="s">
        <v>1197</v>
      </c>
      <c r="F144" s="89" t="s">
        <v>770</v>
      </c>
      <c r="G144" s="89" t="s">
        <v>711</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1188</v>
      </c>
      <c r="B145" s="84" t="s">
        <v>1198</v>
      </c>
      <c r="C145" s="86" t="s">
        <v>1199</v>
      </c>
      <c r="D145" s="88" t="s">
        <v>1200</v>
      </c>
      <c r="E145" s="88" t="s">
        <v>1201</v>
      </c>
      <c r="F145" s="89" t="s">
        <v>678</v>
      </c>
      <c r="G145" s="89" t="s">
        <v>663</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1188</v>
      </c>
      <c r="B146" s="84" t="s">
        <v>1202</v>
      </c>
      <c r="C146" s="86" t="s">
        <v>1203</v>
      </c>
      <c r="D146" s="88" t="s">
        <v>1204</v>
      </c>
      <c r="E146" s="88" t="s">
        <v>1205</v>
      </c>
      <c r="F146" s="89" t="s">
        <v>678</v>
      </c>
      <c r="G146" s="89" t="s">
        <v>653</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1188</v>
      </c>
      <c r="B147" s="84" t="s">
        <v>1206</v>
      </c>
      <c r="C147" s="86" t="s">
        <v>1207</v>
      </c>
      <c r="D147" s="88" t="s">
        <v>1208</v>
      </c>
      <c r="E147" s="88" t="s">
        <v>1209</v>
      </c>
      <c r="F147" s="89" t="s">
        <v>678</v>
      </c>
      <c r="G147" s="89" t="s">
        <v>695</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1188</v>
      </c>
      <c r="B148" s="84" t="s">
        <v>1210</v>
      </c>
      <c r="C148" s="86" t="s">
        <v>1211</v>
      </c>
      <c r="D148" s="88" t="s">
        <v>1212</v>
      </c>
      <c r="E148" s="88" t="s">
        <v>1213</v>
      </c>
      <c r="F148" s="89" t="s">
        <v>770</v>
      </c>
      <c r="G148" s="89" t="s">
        <v>711</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1188</v>
      </c>
      <c r="B149" s="84" t="s">
        <v>1214</v>
      </c>
      <c r="C149" s="86" t="s">
        <v>1215</v>
      </c>
      <c r="D149" s="88" t="s">
        <v>1216</v>
      </c>
      <c r="E149" s="88" t="s">
        <v>1217</v>
      </c>
      <c r="F149" s="89" t="s">
        <v>678</v>
      </c>
      <c r="G149" s="89" t="s">
        <v>695</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1188</v>
      </c>
      <c r="B150" s="84" t="s">
        <v>1218</v>
      </c>
      <c r="C150" s="86" t="s">
        <v>1219</v>
      </c>
      <c r="D150" s="88" t="s">
        <v>1220</v>
      </c>
      <c r="E150" s="88" t="s">
        <v>1221</v>
      </c>
      <c r="F150" s="89" t="s">
        <v>924</v>
      </c>
      <c r="G150" s="89" t="s">
        <v>695</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1188</v>
      </c>
      <c r="B151" s="84" t="s">
        <v>1222</v>
      </c>
      <c r="C151" s="86" t="s">
        <v>1223</v>
      </c>
      <c r="D151" s="88" t="s">
        <v>1224</v>
      </c>
      <c r="E151" s="88" t="s">
        <v>1225</v>
      </c>
      <c r="F151" s="89" t="s">
        <v>795</v>
      </c>
      <c r="G151" s="89" t="s">
        <v>695</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1188</v>
      </c>
      <c r="B152" s="84" t="s">
        <v>1226</v>
      </c>
      <c r="C152" s="86" t="s">
        <v>1227</v>
      </c>
      <c r="D152" s="88" t="s">
        <v>1228</v>
      </c>
      <c r="E152" s="88" t="s">
        <v>1229</v>
      </c>
      <c r="F152" s="89" t="s">
        <v>678</v>
      </c>
      <c r="G152" s="89" t="s">
        <v>695</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1188</v>
      </c>
      <c r="B153" s="84" t="s">
        <v>1230</v>
      </c>
      <c r="C153" s="86" t="s">
        <v>1231</v>
      </c>
      <c r="D153" s="88" t="s">
        <v>1232</v>
      </c>
      <c r="E153" s="88" t="s">
        <v>1233</v>
      </c>
      <c r="F153" s="89" t="s">
        <v>678</v>
      </c>
      <c r="G153" s="89" t="s">
        <v>695</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1188</v>
      </c>
      <c r="B154" s="84" t="s">
        <v>1234</v>
      </c>
      <c r="C154" s="86" t="s">
        <v>1235</v>
      </c>
      <c r="D154" s="88" t="s">
        <v>1236</v>
      </c>
      <c r="E154" s="88" t="s">
        <v>1237</v>
      </c>
      <c r="F154" s="89" t="s">
        <v>678</v>
      </c>
      <c r="G154" s="89" t="s">
        <v>695</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1188</v>
      </c>
      <c r="B155" s="84" t="s">
        <v>1238</v>
      </c>
      <c r="C155" s="86" t="s">
        <v>1239</v>
      </c>
      <c r="D155" s="88" t="s">
        <v>1240</v>
      </c>
      <c r="E155" s="88" t="s">
        <v>1241</v>
      </c>
      <c r="F155" s="89" t="s">
        <v>678</v>
      </c>
      <c r="G155" s="89" t="s">
        <v>663</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1188</v>
      </c>
      <c r="B156" s="84" t="s">
        <v>1242</v>
      </c>
      <c r="C156" s="86" t="s">
        <v>1243</v>
      </c>
      <c r="D156" s="88" t="s">
        <v>1244</v>
      </c>
      <c r="E156" s="88" t="s">
        <v>1245</v>
      </c>
      <c r="F156" s="89" t="s">
        <v>678</v>
      </c>
      <c r="G156" s="89" t="s">
        <v>695</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1246</v>
      </c>
      <c r="B157" s="83">
        <v>17</v>
      </c>
      <c r="C157" s="85" t="s">
        <v>21</v>
      </c>
      <c r="D157" s="87" t="s">
        <v>1247</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1246</v>
      </c>
      <c r="B158" s="84" t="s">
        <v>1248</v>
      </c>
      <c r="C158" s="86" t="s">
        <v>1249</v>
      </c>
      <c r="D158" s="88" t="s">
        <v>1250</v>
      </c>
      <c r="E158" s="88" t="s">
        <v>1251</v>
      </c>
      <c r="F158" s="89" t="s">
        <v>795</v>
      </c>
      <c r="G158" s="89" t="s">
        <v>658</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1246</v>
      </c>
      <c r="B159" s="84" t="s">
        <v>1252</v>
      </c>
      <c r="C159" s="86" t="s">
        <v>1253</v>
      </c>
      <c r="D159" s="88" t="s">
        <v>1254</v>
      </c>
      <c r="E159" s="88" t="s">
        <v>1255</v>
      </c>
      <c r="F159" s="89" t="s">
        <v>770</v>
      </c>
      <c r="G159" s="89" t="s">
        <v>711</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1246</v>
      </c>
      <c r="B160" s="84" t="s">
        <v>1256</v>
      </c>
      <c r="C160" s="86" t="s">
        <v>1257</v>
      </c>
      <c r="D160" s="88" t="s">
        <v>1258</v>
      </c>
      <c r="E160" s="88" t="s">
        <v>1259</v>
      </c>
      <c r="F160" s="89" t="s">
        <v>770</v>
      </c>
      <c r="G160" s="89" t="s">
        <v>711</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1246</v>
      </c>
      <c r="B161" s="84" t="s">
        <v>1260</v>
      </c>
      <c r="C161" s="86" t="s">
        <v>1261</v>
      </c>
      <c r="D161" s="88" t="s">
        <v>1262</v>
      </c>
      <c r="E161" s="88" t="s">
        <v>1263</v>
      </c>
      <c r="F161" s="89" t="s">
        <v>770</v>
      </c>
      <c r="G161" s="89" t="s">
        <v>711</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1246</v>
      </c>
      <c r="B162" s="84" t="s">
        <v>1264</v>
      </c>
      <c r="C162" s="86" t="s">
        <v>1265</v>
      </c>
      <c r="D162" s="88" t="s">
        <v>1266</v>
      </c>
      <c r="E162" s="88" t="s">
        <v>1267</v>
      </c>
      <c r="F162" s="89" t="s">
        <v>795</v>
      </c>
      <c r="G162" s="89" t="s">
        <v>658</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1246</v>
      </c>
      <c r="B163" s="84" t="s">
        <v>1268</v>
      </c>
      <c r="C163" s="86" t="s">
        <v>1269</v>
      </c>
      <c r="D163" s="88" t="s">
        <v>1270</v>
      </c>
      <c r="E163" s="88" t="s">
        <v>1271</v>
      </c>
      <c r="F163" s="89" t="s">
        <v>795</v>
      </c>
      <c r="G163" s="89" t="s">
        <v>658</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1246</v>
      </c>
      <c r="B164" s="84" t="s">
        <v>1272</v>
      </c>
      <c r="C164" s="86" t="s">
        <v>1273</v>
      </c>
      <c r="D164" s="88" t="s">
        <v>1274</v>
      </c>
      <c r="E164" s="88" t="s">
        <v>1275</v>
      </c>
      <c r="F164" s="89" t="s">
        <v>795</v>
      </c>
      <c r="G164" s="89" t="s">
        <v>1027</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1246</v>
      </c>
      <c r="B165" s="84" t="s">
        <v>1276</v>
      </c>
      <c r="C165" s="86" t="s">
        <v>1277</v>
      </c>
      <c r="D165" s="88" t="s">
        <v>1278</v>
      </c>
      <c r="E165" s="88" t="s">
        <v>1279</v>
      </c>
      <c r="F165" s="89" t="s">
        <v>795</v>
      </c>
      <c r="G165" s="89" t="s">
        <v>1027</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1246</v>
      </c>
      <c r="B166" s="84" t="s">
        <v>1280</v>
      </c>
      <c r="C166" s="86" t="s">
        <v>1281</v>
      </c>
      <c r="D166" s="88" t="s">
        <v>1282</v>
      </c>
      <c r="E166" s="88" t="s">
        <v>1283</v>
      </c>
      <c r="F166" s="89" t="s">
        <v>770</v>
      </c>
      <c r="G166" s="89" t="s">
        <v>1027</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1284</v>
      </c>
      <c r="B167" s="83">
        <v>18</v>
      </c>
      <c r="C167" s="85" t="s">
        <v>21</v>
      </c>
      <c r="D167" s="87" t="s">
        <v>1285</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1284</v>
      </c>
      <c r="B168" s="84" t="s">
        <v>1286</v>
      </c>
      <c r="C168" s="86" t="s">
        <v>1287</v>
      </c>
      <c r="D168" s="88" t="s">
        <v>1288</v>
      </c>
      <c r="E168" s="88" t="s">
        <v>1289</v>
      </c>
      <c r="F168" s="89" t="s">
        <v>770</v>
      </c>
      <c r="G168" s="89" t="s">
        <v>711</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1284</v>
      </c>
      <c r="B169" s="84" t="s">
        <v>1290</v>
      </c>
      <c r="C169" s="86" t="s">
        <v>1291</v>
      </c>
      <c r="D169" s="88" t="s">
        <v>1292</v>
      </c>
      <c r="E169" s="88" t="s">
        <v>1293</v>
      </c>
      <c r="F169" s="89" t="s">
        <v>924</v>
      </c>
      <c r="G169" s="89" t="s">
        <v>663</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1284</v>
      </c>
      <c r="B170" s="84" t="s">
        <v>1294</v>
      </c>
      <c r="C170" s="86" t="s">
        <v>1295</v>
      </c>
      <c r="D170" s="88" t="s">
        <v>1296</v>
      </c>
      <c r="E170" s="88" t="s">
        <v>1297</v>
      </c>
      <c r="F170" s="89" t="s">
        <v>924</v>
      </c>
      <c r="G170" s="89" t="s">
        <v>695</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1284</v>
      </c>
      <c r="B171" s="84" t="s">
        <v>1298</v>
      </c>
      <c r="C171" s="86" t="s">
        <v>1299</v>
      </c>
      <c r="D171" s="88" t="s">
        <v>1300</v>
      </c>
      <c r="E171" s="88" t="s">
        <v>1301</v>
      </c>
      <c r="F171" s="89" t="s">
        <v>924</v>
      </c>
      <c r="G171" s="89" t="s">
        <v>695</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1284</v>
      </c>
      <c r="B172" s="94" t="s">
        <v>1302</v>
      </c>
      <c r="C172" s="95" t="s">
        <v>1303</v>
      </c>
      <c r="D172" s="96" t="s">
        <v>1304</v>
      </c>
      <c r="E172" s="96" t="s">
        <v>1305</v>
      </c>
      <c r="F172" s="97" t="s">
        <v>924</v>
      </c>
      <c r="G172" s="97" t="s">
        <v>663</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351</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IFERROR(INDEX('Recommendations'!$H$2:$H$69, MATCH(J2,'Recommendations'!$A$2:$A$69,0))="Implemented", FALSE))</xm:f>
            <x14:dxf>
              <font>
                <color rgb="FF000000"/>
              </font>
              <fill>
                <patternFill>
                  <bgColor rgb="FF3C7D22"/>
                </patternFill>
              </fill>
            </x14:dxf>
          </x14:cfRule>
          <x14:cfRule type="expression" priority="2" id="{00000000-000E-0000-0400-000002000000}">
            <xm:f>AND(J2&lt;&gt;"", IFERROR(INDEX('Recommendations'!$H$2:$H$69, MATCH(J2,'Recommendations'!$A$2:$A$69,0))="Compensated", FALSE))</xm:f>
            <x14:dxf>
              <font>
                <color rgb="FF000000"/>
              </font>
              <fill>
                <patternFill>
                  <bgColor rgb="FFC6E0B4"/>
                </patternFill>
              </fill>
            </x14:dxf>
          </x14:cfRule>
          <x14:cfRule type="expression" priority="3" id="{00000000-000E-0000-0400-000003000000}">
            <xm:f>AND(J2&lt;&gt;"", IFERROR(INDEX('Recommendations'!$H$2:$H$69, MATCH(J2,'Recommendations'!$A$2:$A$69,0))="Testing", FALSE))</xm:f>
            <x14:dxf>
              <font>
                <color rgb="FF000000"/>
              </font>
              <fill>
                <patternFill>
                  <bgColor rgb="FFFFC000"/>
                </patternFill>
              </fill>
            </x14:dxf>
          </x14:cfRule>
          <x14:cfRule type="expression" priority="4" id="{00000000-000E-0000-0400-000004000000}">
            <xm:f>AND(J2&lt;&gt;"", IFERROR(INDEX('Recommendations'!$H$2:$H$69, MATCH(J2,'Recommendations'!$A$2:$A$69,0))="Failed", FALSE))</xm:f>
            <x14:dxf>
              <font>
                <color rgb="FF000000"/>
              </font>
              <fill>
                <patternFill>
                  <bgColor rgb="FFD82891"/>
                </patternFill>
              </fill>
            </x14:dxf>
          </x14:cfRule>
          <x14:cfRule type="expression" priority="5" id="{00000000-000E-0000-0400-000005000000}">
            <xm:f>AND(J2&lt;&gt;"", IFERROR(INDEX('Recommendations'!$H$2:$H$69, MATCH(J2,'Recommendations'!$A$2:$A$69,0))="Risk Accepted", FALSE))</xm:f>
            <x14:dxf>
              <font>
                <color rgb="FF000000"/>
              </font>
              <fill>
                <patternFill>
                  <bgColor rgb="FFD9D9D9"/>
                </patternFill>
              </fill>
            </x14:dxf>
          </x14:cfRule>
          <x14:cfRule type="expression" priority="6" id="{00000000-000E-0000-0400-000006000000}">
            <xm:f>AND(J2&lt;&gt;"", IFERROR(INDEX('Recommendations'!$H$2:$H$69, MATCH(J2,'Recommendations'!$A$2:$A$69,0))="N/A",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1306</v>
      </c>
      <c r="C1" s="124" t="s">
        <v>10</v>
      </c>
      <c r="D1" s="124" t="s">
        <v>511</v>
      </c>
      <c r="E1" s="124" t="s">
        <v>1307</v>
      </c>
      <c r="F1" s="124" t="s">
        <v>1308</v>
      </c>
      <c r="G1" s="124" t="s">
        <v>605</v>
      </c>
      <c r="H1" s="124" t="s">
        <v>606</v>
      </c>
      <c r="I1" s="124" t="s">
        <v>607</v>
      </c>
      <c r="J1" s="124" t="s">
        <v>608</v>
      </c>
      <c r="K1" s="124" t="s">
        <v>609</v>
      </c>
      <c r="L1" s="124" t="s">
        <v>610</v>
      </c>
      <c r="M1" s="124" t="s">
        <v>611</v>
      </c>
      <c r="N1" s="124" t="s">
        <v>612</v>
      </c>
      <c r="O1" s="124" t="s">
        <v>613</v>
      </c>
      <c r="P1" s="124" t="s">
        <v>614</v>
      </c>
      <c r="Q1" s="124" t="s">
        <v>615</v>
      </c>
      <c r="R1" s="124" t="s">
        <v>616</v>
      </c>
      <c r="S1" s="124" t="s">
        <v>617</v>
      </c>
      <c r="T1" s="124" t="s">
        <v>618</v>
      </c>
      <c r="U1" s="124" t="s">
        <v>619</v>
      </c>
      <c r="V1" s="124" t="s">
        <v>620</v>
      </c>
      <c r="W1" s="124" t="s">
        <v>621</v>
      </c>
      <c r="X1" s="124" t="s">
        <v>622</v>
      </c>
      <c r="Y1" s="124" t="s">
        <v>623</v>
      </c>
      <c r="Z1" s="124" t="s">
        <v>624</v>
      </c>
      <c r="AA1" s="124" t="s">
        <v>625</v>
      </c>
      <c r="AB1" s="124" t="s">
        <v>626</v>
      </c>
      <c r="AC1" s="124" t="s">
        <v>627</v>
      </c>
      <c r="AD1" s="124" t="s">
        <v>628</v>
      </c>
      <c r="AE1" s="124" t="s">
        <v>629</v>
      </c>
      <c r="AF1" s="124" t="s">
        <v>630</v>
      </c>
      <c r="AG1" s="124" t="s">
        <v>631</v>
      </c>
      <c r="AH1" s="124" t="s">
        <v>632</v>
      </c>
      <c r="AI1" s="124" t="s">
        <v>633</v>
      </c>
      <c r="AJ1" s="124" t="s">
        <v>634</v>
      </c>
      <c r="AK1" s="124" t="s">
        <v>635</v>
      </c>
      <c r="AL1" s="124" t="s">
        <v>636</v>
      </c>
      <c r="AM1" s="124" t="s">
        <v>637</v>
      </c>
      <c r="AN1" s="124" t="s">
        <v>638</v>
      </c>
      <c r="AO1" s="124" t="s">
        <v>639</v>
      </c>
      <c r="AP1" s="124" t="s">
        <v>640</v>
      </c>
      <c r="AQ1" s="124" t="s">
        <v>641</v>
      </c>
      <c r="AR1" s="124" t="s">
        <v>642</v>
      </c>
      <c r="AS1" s="124" t="s">
        <v>643</v>
      </c>
      <c r="AT1" s="124" t="s">
        <v>644</v>
      </c>
      <c r="AU1" s="125" t="s">
        <v>645</v>
      </c>
    </row>
    <row r="2" spans="1:47" ht="60" customHeight="1" x14ac:dyDescent="0.35">
      <c r="A2" s="119" t="s">
        <v>1309</v>
      </c>
      <c r="B2" s="109" t="s">
        <v>1310</v>
      </c>
      <c r="C2" s="110" t="s">
        <v>1311</v>
      </c>
      <c r="D2" s="110" t="s">
        <v>1312</v>
      </c>
      <c r="E2" s="110" t="s">
        <v>1313</v>
      </c>
      <c r="F2" s="111" t="s">
        <v>1314</v>
      </c>
      <c r="G2" s="112">
        <f>IF(COUNTIF(H2:AU2,"&lt;&gt;")=0,"",SUMPRODUCT(((Recommendations[ImplStatus]="Implemented")+(Recommendations[ImplStatus]="Compensated"))*ISNUMBER(MATCH(Recommendations[Id],H2:AU2,0)))/COUNTIF(H2:AU2,"&lt;&gt;"))</f>
        <v>0</v>
      </c>
      <c r="H2" s="113" t="s">
        <v>247</v>
      </c>
      <c r="I2" s="113" t="s">
        <v>272</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1315</v>
      </c>
      <c r="B3" s="109" t="s">
        <v>1316</v>
      </c>
      <c r="C3" s="110" t="s">
        <v>1317</v>
      </c>
      <c r="D3" s="110" t="s">
        <v>1318</v>
      </c>
      <c r="E3" s="110" t="s">
        <v>1319</v>
      </c>
      <c r="F3" s="111" t="s">
        <v>1320</v>
      </c>
      <c r="G3" s="112">
        <f>IF(COUNTIF(H3:AU3,"&lt;&gt;")=0,"",SUMPRODUCT(((Recommendations[ImplStatus]="Implemented")+(Recommendations[ImplStatus]="Compensated"))*ISNUMBER(MATCH(Recommendations[Id],H3:AU3,0)))/COUNTIF(H3:AU3,"&lt;&gt;"))</f>
        <v>0</v>
      </c>
      <c r="H3" s="113" t="s">
        <v>294</v>
      </c>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1321</v>
      </c>
      <c r="B4" s="109" t="s">
        <v>1322</v>
      </c>
      <c r="C4" s="110" t="s">
        <v>1323</v>
      </c>
      <c r="D4" s="110" t="s">
        <v>1324</v>
      </c>
      <c r="E4" s="110" t="s">
        <v>1325</v>
      </c>
      <c r="F4" s="111" t="s">
        <v>1326</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1327</v>
      </c>
      <c r="B5" s="109" t="s">
        <v>1328</v>
      </c>
      <c r="C5" s="110" t="s">
        <v>1329</v>
      </c>
      <c r="D5" s="110" t="s">
        <v>1330</v>
      </c>
      <c r="E5" s="110" t="s">
        <v>1331</v>
      </c>
      <c r="F5" s="111" t="s">
        <v>1332</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1333</v>
      </c>
      <c r="B6" s="109" t="s">
        <v>1334</v>
      </c>
      <c r="C6" s="110" t="s">
        <v>1335</v>
      </c>
      <c r="D6" s="110" t="s">
        <v>1336</v>
      </c>
      <c r="E6" s="110" t="s">
        <v>21</v>
      </c>
      <c r="F6" s="111" t="s">
        <v>1337</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1338</v>
      </c>
      <c r="B7" s="109" t="s">
        <v>11</v>
      </c>
      <c r="C7" s="110" t="s">
        <v>1339</v>
      </c>
      <c r="D7" s="110" t="s">
        <v>1340</v>
      </c>
      <c r="E7" s="110" t="s">
        <v>21</v>
      </c>
      <c r="F7" s="111" t="s">
        <v>1341</v>
      </c>
      <c r="G7" s="112">
        <f>IF(COUNTIF(H7:AU7,"&lt;&gt;")=0,"",SUMPRODUCT(((Recommendations[ImplStatus]="Implemented")+(Recommendations[ImplStatus]="Compensated"))*ISNUMBER(MATCH(Recommendations[Id],H7:AU7,0)))/COUNTIF(H7:AU7,"&lt;&gt;"))</f>
        <v>0</v>
      </c>
      <c r="H7" s="113" t="s">
        <v>14</v>
      </c>
      <c r="I7" s="113" t="s">
        <v>36</v>
      </c>
      <c r="J7" s="113" t="s">
        <v>67</v>
      </c>
      <c r="K7" s="113" t="s">
        <v>182</v>
      </c>
      <c r="L7" s="113" t="s">
        <v>188</v>
      </c>
      <c r="M7" s="113" t="s">
        <v>205</v>
      </c>
      <c r="N7" s="113" t="s">
        <v>281</v>
      </c>
      <c r="O7" s="113" t="s">
        <v>286</v>
      </c>
      <c r="P7" s="113" t="s">
        <v>291</v>
      </c>
      <c r="Q7" s="113" t="s">
        <v>312</v>
      </c>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1342</v>
      </c>
      <c r="B8" s="109" t="s">
        <v>1343</v>
      </c>
      <c r="C8" s="110" t="s">
        <v>1344</v>
      </c>
      <c r="D8" s="110" t="s">
        <v>1345</v>
      </c>
      <c r="E8" s="110" t="s">
        <v>21</v>
      </c>
      <c r="F8" s="111" t="s">
        <v>1346</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1347</v>
      </c>
      <c r="B9" s="109" t="s">
        <v>1348</v>
      </c>
      <c r="C9" s="110" t="s">
        <v>1349</v>
      </c>
      <c r="D9" s="110" t="s">
        <v>1350</v>
      </c>
      <c r="E9" s="110" t="s">
        <v>21</v>
      </c>
      <c r="F9" s="111" t="s">
        <v>1351</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1352</v>
      </c>
      <c r="B10" s="109" t="s">
        <v>1353</v>
      </c>
      <c r="C10" s="110" t="s">
        <v>1354</v>
      </c>
      <c r="D10" s="110" t="s">
        <v>1355</v>
      </c>
      <c r="E10" s="110" t="s">
        <v>21</v>
      </c>
      <c r="F10" s="111" t="s">
        <v>1356</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1357</v>
      </c>
      <c r="B11" s="109" t="s">
        <v>1358</v>
      </c>
      <c r="C11" s="110" t="s">
        <v>1359</v>
      </c>
      <c r="D11" s="110" t="s">
        <v>1360</v>
      </c>
      <c r="E11" s="110" t="s">
        <v>21</v>
      </c>
      <c r="F11" s="111" t="s">
        <v>1361</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1362</v>
      </c>
      <c r="B12" s="109" t="s">
        <v>1363</v>
      </c>
      <c r="C12" s="110" t="s">
        <v>1364</v>
      </c>
      <c r="D12" s="110" t="s">
        <v>1365</v>
      </c>
      <c r="E12" s="110" t="s">
        <v>21</v>
      </c>
      <c r="F12" s="111" t="s">
        <v>1366</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1367</v>
      </c>
      <c r="B13" s="109" t="s">
        <v>1368</v>
      </c>
      <c r="C13" s="110" t="s">
        <v>1369</v>
      </c>
      <c r="D13" s="110" t="s">
        <v>1370</v>
      </c>
      <c r="E13" s="110" t="s">
        <v>21</v>
      </c>
      <c r="F13" s="111" t="s">
        <v>1371</v>
      </c>
      <c r="G13" s="112">
        <f>IF(COUNTIF(H13:AU13,"&lt;&gt;")=0,"",SUMPRODUCT(((Recommendations[ImplStatus]="Implemented")+(Recommendations[ImplStatus]="Compensated"))*ISNUMBER(MATCH(Recommendations[Id],H13:AU13,0)))/COUNTIF(H13:AU13,"&lt;&gt;"))</f>
        <v>0</v>
      </c>
      <c r="H13" s="113" t="s">
        <v>321</v>
      </c>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1372</v>
      </c>
      <c r="B14" s="109" t="s">
        <v>1373</v>
      </c>
      <c r="C14" s="110" t="s">
        <v>1374</v>
      </c>
      <c r="D14" s="110" t="s">
        <v>1375</v>
      </c>
      <c r="E14" s="110" t="s">
        <v>21</v>
      </c>
      <c r="F14" s="111" t="s">
        <v>1376</v>
      </c>
      <c r="G14" s="112">
        <f>IF(COUNTIF(H14:AU14,"&lt;&gt;")=0,"",SUMPRODUCT(((Recommendations[ImplStatus]="Implemented")+(Recommendations[ImplStatus]="Compensated"))*ISNUMBER(MATCH(Recommendations[Id],H14:AU14,0)))/COUNTIF(H14:AU14,"&lt;&gt;"))</f>
        <v>0</v>
      </c>
      <c r="H14" s="113" t="s">
        <v>108</v>
      </c>
      <c r="I14" s="113" t="s">
        <v>113</v>
      </c>
      <c r="J14" s="113" t="s">
        <v>118</v>
      </c>
      <c r="K14" s="113" t="s">
        <v>169</v>
      </c>
      <c r="L14" s="113" t="s">
        <v>174</v>
      </c>
      <c r="M14" s="113" t="s">
        <v>178</v>
      </c>
      <c r="N14" s="113" t="s">
        <v>222</v>
      </c>
      <c r="O14" s="113" t="s">
        <v>227</v>
      </c>
      <c r="P14" s="113" t="s">
        <v>237</v>
      </c>
      <c r="Q14" s="113" t="s">
        <v>326</v>
      </c>
      <c r="R14" s="113" t="s">
        <v>341</v>
      </c>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1377</v>
      </c>
      <c r="B15" s="109" t="s">
        <v>1378</v>
      </c>
      <c r="C15" s="110" t="s">
        <v>1379</v>
      </c>
      <c r="D15" s="110" t="s">
        <v>1380</v>
      </c>
      <c r="E15" s="110" t="s">
        <v>21</v>
      </c>
      <c r="F15" s="111" t="s">
        <v>1381</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1382</v>
      </c>
      <c r="B16" s="109" t="s">
        <v>1383</v>
      </c>
      <c r="C16" s="110" t="s">
        <v>1384</v>
      </c>
      <c r="D16" s="110" t="s">
        <v>1385</v>
      </c>
      <c r="E16" s="110" t="s">
        <v>21</v>
      </c>
      <c r="F16" s="111" t="s">
        <v>1386</v>
      </c>
      <c r="G16" s="112">
        <f>IF(COUNTIF(H16:AU16,"&lt;&gt;")=0,"",SUMPRODUCT(((Recommendations[ImplStatus]="Implemented")+(Recommendations[ImplStatus]="Compensated"))*ISNUMBER(MATCH(Recommendations[Id],H16:AU16,0)))/COUNTIF(H16:AU16,"&lt;&gt;"))</f>
        <v>0</v>
      </c>
      <c r="H16" s="113" t="s">
        <v>73</v>
      </c>
      <c r="I16" s="113" t="s">
        <v>139</v>
      </c>
      <c r="J16" s="113" t="s">
        <v>192</v>
      </c>
      <c r="K16" s="113" t="s">
        <v>307</v>
      </c>
      <c r="L16" s="113" t="s">
        <v>336</v>
      </c>
      <c r="M16" s="113" t="s">
        <v>346</v>
      </c>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1387</v>
      </c>
      <c r="B17" s="109" t="s">
        <v>1388</v>
      </c>
      <c r="C17" s="110" t="s">
        <v>1389</v>
      </c>
      <c r="D17" s="110" t="s">
        <v>1390</v>
      </c>
      <c r="E17" s="110" t="s">
        <v>21</v>
      </c>
      <c r="F17" s="111" t="s">
        <v>1391</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1392</v>
      </c>
      <c r="B18" s="109" t="s">
        <v>1393</v>
      </c>
      <c r="C18" s="110" t="s">
        <v>1394</v>
      </c>
      <c r="D18" s="110" t="s">
        <v>1395</v>
      </c>
      <c r="E18" s="110" t="s">
        <v>21</v>
      </c>
      <c r="F18" s="111" t="s">
        <v>1396</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1397</v>
      </c>
      <c r="B19" s="109" t="s">
        <v>1398</v>
      </c>
      <c r="C19" s="110" t="s">
        <v>1399</v>
      </c>
      <c r="D19" s="110" t="s">
        <v>1400</v>
      </c>
      <c r="E19" s="110" t="s">
        <v>21</v>
      </c>
      <c r="F19" s="111" t="s">
        <v>1401</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1402</v>
      </c>
      <c r="B20" s="109" t="s">
        <v>1403</v>
      </c>
      <c r="C20" s="110" t="s">
        <v>1404</v>
      </c>
      <c r="D20" s="110" t="s">
        <v>1405</v>
      </c>
      <c r="E20" s="110" t="s">
        <v>21</v>
      </c>
      <c r="F20" s="111" t="s">
        <v>1406</v>
      </c>
      <c r="G20" s="112">
        <f>IF(COUNTIF(H20:AU20,"&lt;&gt;")=0,"",SUMPRODUCT(((Recommendations[ImplStatus]="Implemented")+(Recommendations[ImplStatus]="Compensated"))*ISNUMBER(MATCH(Recommendations[Id],H20:AU20,0)))/COUNTIF(H20:AU20,"&lt;&gt;"))</f>
        <v>0</v>
      </c>
      <c r="H20" s="113" t="s">
        <v>25</v>
      </c>
      <c r="I20" s="113" t="s">
        <v>30</v>
      </c>
      <c r="J20" s="113" t="s">
        <v>46</v>
      </c>
      <c r="K20" s="113" t="s">
        <v>51</v>
      </c>
      <c r="L20" s="113" t="s">
        <v>78</v>
      </c>
      <c r="M20" s="113" t="s">
        <v>82</v>
      </c>
      <c r="N20" s="113" t="s">
        <v>92</v>
      </c>
      <c r="O20" s="113" t="s">
        <v>97</v>
      </c>
      <c r="P20" s="113" t="s">
        <v>102</v>
      </c>
      <c r="Q20" s="113" t="s">
        <v>128</v>
      </c>
      <c r="R20" s="113" t="s">
        <v>134</v>
      </c>
      <c r="S20" s="113" t="s">
        <v>197</v>
      </c>
      <c r="T20" s="113" t="s">
        <v>201</v>
      </c>
      <c r="U20" s="113" t="s">
        <v>214</v>
      </c>
      <c r="V20" s="113" t="s">
        <v>219</v>
      </c>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1407</v>
      </c>
      <c r="B21" s="109" t="s">
        <v>1408</v>
      </c>
      <c r="C21" s="110" t="s">
        <v>1409</v>
      </c>
      <c r="D21" s="110" t="s">
        <v>1410</v>
      </c>
      <c r="E21" s="110" t="s">
        <v>1411</v>
      </c>
      <c r="F21" s="111" t="s">
        <v>1412</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1413</v>
      </c>
      <c r="B22" s="109" t="s">
        <v>1414</v>
      </c>
      <c r="C22" s="110" t="s">
        <v>1415</v>
      </c>
      <c r="D22" s="110" t="s">
        <v>1416</v>
      </c>
      <c r="E22" s="110" t="s">
        <v>1417</v>
      </c>
      <c r="F22" s="111" t="s">
        <v>1418</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1419</v>
      </c>
      <c r="B23" s="109" t="s">
        <v>1420</v>
      </c>
      <c r="C23" s="110" t="s">
        <v>1421</v>
      </c>
      <c r="D23" s="110" t="s">
        <v>1422</v>
      </c>
      <c r="E23" s="110" t="s">
        <v>1423</v>
      </c>
      <c r="F23" s="111" t="s">
        <v>1424</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1425</v>
      </c>
      <c r="B24" s="109" t="s">
        <v>1426</v>
      </c>
      <c r="C24" s="110" t="s">
        <v>1427</v>
      </c>
      <c r="D24" s="110" t="s">
        <v>1428</v>
      </c>
      <c r="E24" s="110" t="s">
        <v>21</v>
      </c>
      <c r="F24" s="111" t="s">
        <v>1429</v>
      </c>
      <c r="G24" s="112" t="str">
        <f>IF(COUNTIF(H24:AU24,"&lt;&gt;")=0,"",SUMPRODUCT(((Recommendations[ImplStatus]="Implemented")+(Recommendations[ImplStatus]="Compensated"))*ISNUMBER(MATCH(Recommendations[Id],H24:AU24,0)))/COUNTIF(H24:AU24,"&lt;&gt;"))</f>
        <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1430</v>
      </c>
      <c r="B25" s="109" t="s">
        <v>1431</v>
      </c>
      <c r="C25" s="110" t="s">
        <v>1432</v>
      </c>
      <c r="D25" s="110" t="s">
        <v>21</v>
      </c>
      <c r="E25" s="110" t="s">
        <v>21</v>
      </c>
      <c r="F25" s="111" t="s">
        <v>1433</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1434</v>
      </c>
      <c r="B26" s="109" t="s">
        <v>1435</v>
      </c>
      <c r="C26" s="110" t="s">
        <v>1436</v>
      </c>
      <c r="D26" s="110" t="s">
        <v>1437</v>
      </c>
      <c r="E26" s="110" t="s">
        <v>21</v>
      </c>
      <c r="F26" s="111" t="s">
        <v>1438</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1439</v>
      </c>
      <c r="B27" s="109" t="s">
        <v>1440</v>
      </c>
      <c r="C27" s="110" t="s">
        <v>1441</v>
      </c>
      <c r="D27" s="110" t="s">
        <v>1442</v>
      </c>
      <c r="E27" s="110" t="s">
        <v>1443</v>
      </c>
      <c r="F27" s="111" t="s">
        <v>1444</v>
      </c>
      <c r="G27" s="112">
        <f>IF(COUNTIF(H27:AU27,"&lt;&gt;")=0,"",SUMPRODUCT(((Recommendations[ImplStatus]="Implemented")+(Recommendations[ImplStatus]="Compensated"))*ISNUMBER(MATCH(Recommendations[Id],H27:AU27,0)))/COUNTIF(H27:AU27,"&lt;&gt;"))</f>
        <v>0</v>
      </c>
      <c r="H27" s="113" t="s">
        <v>149</v>
      </c>
      <c r="I27" s="113" t="s">
        <v>154</v>
      </c>
      <c r="J27" s="113" t="s">
        <v>159</v>
      </c>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1445</v>
      </c>
      <c r="B28" s="109" t="s">
        <v>1446</v>
      </c>
      <c r="C28" s="110" t="s">
        <v>1447</v>
      </c>
      <c r="D28" s="110" t="s">
        <v>21</v>
      </c>
      <c r="E28" s="110" t="s">
        <v>21</v>
      </c>
      <c r="F28" s="111" t="s">
        <v>1448</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1449</v>
      </c>
      <c r="B29" s="109" t="s">
        <v>1450</v>
      </c>
      <c r="C29" s="110" t="s">
        <v>1451</v>
      </c>
      <c r="D29" s="110" t="s">
        <v>1452</v>
      </c>
      <c r="E29" s="110" t="s">
        <v>1453</v>
      </c>
      <c r="F29" s="111" t="s">
        <v>1454</v>
      </c>
      <c r="G29" s="112">
        <f>IF(COUNTIF(H29:AU29,"&lt;&gt;")=0,"",SUMPRODUCT(((Recommendations[ImplStatus]="Implemented")+(Recommendations[ImplStatus]="Compensated"))*ISNUMBER(MATCH(Recommendations[Id],H29:AU29,0)))/COUNTIF(H29:AU29,"&lt;&gt;"))</f>
        <v>0</v>
      </c>
      <c r="H29" s="113" t="s">
        <v>144</v>
      </c>
      <c r="I29" s="113" t="s">
        <v>252</v>
      </c>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1455</v>
      </c>
      <c r="B30" s="109" t="s">
        <v>1456</v>
      </c>
      <c r="C30" s="110" t="s">
        <v>1457</v>
      </c>
      <c r="D30" s="110" t="s">
        <v>1458</v>
      </c>
      <c r="E30" s="110" t="s">
        <v>21</v>
      </c>
      <c r="F30" s="111" t="s">
        <v>1459</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1460</v>
      </c>
      <c r="B31" s="109" t="s">
        <v>1461</v>
      </c>
      <c r="C31" s="110" t="s">
        <v>1462</v>
      </c>
      <c r="D31" s="110" t="s">
        <v>1463</v>
      </c>
      <c r="E31" s="110" t="s">
        <v>1464</v>
      </c>
      <c r="F31" s="111" t="s">
        <v>1465</v>
      </c>
      <c r="G31" s="112">
        <f>IF(COUNTIF(H31:AU31,"&lt;&gt;")=0,"",SUMPRODUCT(((Recommendations[ImplStatus]="Implemented")+(Recommendations[ImplStatus]="Compensated"))*ISNUMBER(MATCH(Recommendations[Id],H31:AU31,0)))/COUNTIF(H31:AU31,"&lt;&gt;"))</f>
        <v>0</v>
      </c>
      <c r="H31" s="113" t="s">
        <v>241</v>
      </c>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1466</v>
      </c>
      <c r="B32" s="109" t="s">
        <v>1467</v>
      </c>
      <c r="C32" s="110" t="s">
        <v>1468</v>
      </c>
      <c r="D32" s="110" t="s">
        <v>1469</v>
      </c>
      <c r="E32" s="110" t="s">
        <v>1470</v>
      </c>
      <c r="F32" s="111" t="s">
        <v>1471</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1472</v>
      </c>
      <c r="B33" s="109" t="s">
        <v>1473</v>
      </c>
      <c r="C33" s="110" t="s">
        <v>1474</v>
      </c>
      <c r="D33" s="110" t="s">
        <v>1475</v>
      </c>
      <c r="E33" s="110" t="s">
        <v>21</v>
      </c>
      <c r="F33" s="111" t="s">
        <v>1476</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1477</v>
      </c>
      <c r="B34" s="109" t="s">
        <v>1478</v>
      </c>
      <c r="C34" s="110" t="s">
        <v>1479</v>
      </c>
      <c r="D34" s="110" t="s">
        <v>1480</v>
      </c>
      <c r="E34" s="110" t="s">
        <v>21</v>
      </c>
      <c r="F34" s="111" t="s">
        <v>1481</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1482</v>
      </c>
      <c r="B35" s="109" t="s">
        <v>1483</v>
      </c>
      <c r="C35" s="110" t="s">
        <v>1484</v>
      </c>
      <c r="D35" s="110" t="s">
        <v>1485</v>
      </c>
      <c r="E35" s="110" t="s">
        <v>1486</v>
      </c>
      <c r="F35" s="111" t="s">
        <v>1487</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1488</v>
      </c>
      <c r="B36" s="109" t="s">
        <v>1489</v>
      </c>
      <c r="C36" s="110" t="s">
        <v>1490</v>
      </c>
      <c r="D36" s="110" t="s">
        <v>1491</v>
      </c>
      <c r="E36" s="110" t="s">
        <v>1492</v>
      </c>
      <c r="F36" s="111" t="s">
        <v>1493</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1494</v>
      </c>
      <c r="B37" s="109" t="s">
        <v>1495</v>
      </c>
      <c r="C37" s="110" t="s">
        <v>1496</v>
      </c>
      <c r="D37" s="110" t="s">
        <v>1497</v>
      </c>
      <c r="E37" s="110" t="s">
        <v>21</v>
      </c>
      <c r="F37" s="111" t="s">
        <v>1498</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1499</v>
      </c>
      <c r="B38" s="109" t="s">
        <v>1500</v>
      </c>
      <c r="C38" s="110" t="s">
        <v>1501</v>
      </c>
      <c r="D38" s="110" t="s">
        <v>1502</v>
      </c>
      <c r="E38" s="110" t="s">
        <v>1503</v>
      </c>
      <c r="F38" s="111" t="s">
        <v>1504</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1505</v>
      </c>
      <c r="B39" s="109" t="s">
        <v>1506</v>
      </c>
      <c r="C39" s="110" t="s">
        <v>1507</v>
      </c>
      <c r="D39" s="110" t="s">
        <v>1508</v>
      </c>
      <c r="E39" s="110" t="s">
        <v>21</v>
      </c>
      <c r="F39" s="111" t="s">
        <v>1509</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1510</v>
      </c>
      <c r="B40" s="109" t="s">
        <v>1511</v>
      </c>
      <c r="C40" s="110" t="s">
        <v>1512</v>
      </c>
      <c r="D40" s="110" t="s">
        <v>1513</v>
      </c>
      <c r="E40" s="110" t="s">
        <v>1514</v>
      </c>
      <c r="F40" s="111" t="s">
        <v>1515</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1516</v>
      </c>
      <c r="B41" s="109" t="s">
        <v>1517</v>
      </c>
      <c r="C41" s="110" t="s">
        <v>1518</v>
      </c>
      <c r="D41" s="110" t="s">
        <v>1519</v>
      </c>
      <c r="E41" s="110" t="s">
        <v>1520</v>
      </c>
      <c r="F41" s="111" t="s">
        <v>1521</v>
      </c>
      <c r="G41" s="112">
        <f>IF(COUNTIF(H41:AU41,"&lt;&gt;")=0,"",SUMPRODUCT(((Recommendations[ImplStatus]="Implemented")+(Recommendations[ImplStatus]="Compensated"))*ISNUMBER(MATCH(Recommendations[Id],H41:AU41,0)))/COUNTIF(H41:AU41,"&lt;&gt;"))</f>
        <v>0</v>
      </c>
      <c r="H41" s="113" t="s">
        <v>316</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1522</v>
      </c>
      <c r="B42" s="109" t="s">
        <v>1523</v>
      </c>
      <c r="C42" s="110" t="s">
        <v>1524</v>
      </c>
      <c r="D42" s="110" t="s">
        <v>1525</v>
      </c>
      <c r="E42" s="110" t="s">
        <v>1526</v>
      </c>
      <c r="F42" s="111" t="s">
        <v>1527</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1528</v>
      </c>
      <c r="B43" s="109" t="s">
        <v>1529</v>
      </c>
      <c r="C43" s="110" t="s">
        <v>1530</v>
      </c>
      <c r="D43" s="110" t="s">
        <v>1531</v>
      </c>
      <c r="E43" s="110" t="s">
        <v>1532</v>
      </c>
      <c r="F43" s="111" t="s">
        <v>1533</v>
      </c>
      <c r="G43" s="112">
        <f>IF(COUNTIF(H43:AU43,"&lt;&gt;")=0,"",SUMPRODUCT(((Recommendations[ImplStatus]="Implemented")+(Recommendations[ImplStatus]="Compensated"))*ISNUMBER(MATCH(Recommendations[Id],H43:AU43,0)))/COUNTIF(H43:AU43,"&lt;&gt;"))</f>
        <v>0</v>
      </c>
      <c r="H43" s="113" t="s">
        <v>331</v>
      </c>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1534</v>
      </c>
      <c r="B44" s="109" t="s">
        <v>1535</v>
      </c>
      <c r="C44" s="110" t="s">
        <v>1536</v>
      </c>
      <c r="D44" s="110" t="s">
        <v>1537</v>
      </c>
      <c r="E44" s="110" t="s">
        <v>21</v>
      </c>
      <c r="F44" s="111" t="s">
        <v>1538</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1539</v>
      </c>
      <c r="B45" s="114" t="s">
        <v>1540</v>
      </c>
      <c r="C45" s="115" t="s">
        <v>1541</v>
      </c>
      <c r="D45" s="115" t="s">
        <v>1542</v>
      </c>
      <c r="E45" s="115" t="s">
        <v>1543</v>
      </c>
      <c r="F45" s="116" t="s">
        <v>1544</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351</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IFERROR(INDEX('Recommendations'!$H$2:$H$69, MATCH(H2,'Recommendations'!$A$2:$A$69,0))="Implemented", FALSE))</xm:f>
            <x14:dxf>
              <font>
                <color rgb="FF000000"/>
              </font>
              <fill>
                <patternFill>
                  <bgColor rgb="FF3C7D22"/>
                </patternFill>
              </fill>
            </x14:dxf>
          </x14:cfRule>
          <x14:cfRule type="expression" priority="2" id="{00000000-000E-0000-0500-000002000000}">
            <xm:f>AND(H2&lt;&gt;"", IFERROR(INDEX('Recommendations'!$H$2:$H$69, MATCH(H2,'Recommendations'!$A$2:$A$69,0))="Compensated", FALSE))</xm:f>
            <x14:dxf>
              <font>
                <color rgb="FF000000"/>
              </font>
              <fill>
                <patternFill>
                  <bgColor rgb="FFC6E0B4"/>
                </patternFill>
              </fill>
            </x14:dxf>
          </x14:cfRule>
          <x14:cfRule type="expression" priority="3" id="{00000000-000E-0000-0500-000003000000}">
            <xm:f>AND(H2&lt;&gt;"", IFERROR(INDEX('Recommendations'!$H$2:$H$69, MATCH(H2,'Recommendations'!$A$2:$A$69,0))="Testing", FALSE))</xm:f>
            <x14:dxf>
              <font>
                <color rgb="FF000000"/>
              </font>
              <fill>
                <patternFill>
                  <bgColor rgb="FFFFC000"/>
                </patternFill>
              </fill>
            </x14:dxf>
          </x14:cfRule>
          <x14:cfRule type="expression" priority="4" id="{00000000-000E-0000-0500-000004000000}">
            <xm:f>AND(H2&lt;&gt;"", IFERROR(INDEX('Recommendations'!$H$2:$H$69, MATCH(H2,'Recommendations'!$A$2:$A$69,0))="Failed", FALSE))</xm:f>
            <x14:dxf>
              <font>
                <color rgb="FF000000"/>
              </font>
              <fill>
                <patternFill>
                  <bgColor rgb="FFD82891"/>
                </patternFill>
              </fill>
            </x14:dxf>
          </x14:cfRule>
          <x14:cfRule type="expression" priority="5" id="{00000000-000E-0000-0500-000005000000}">
            <xm:f>AND(H2&lt;&gt;"", IFERROR(INDEX('Recommendations'!$H$2:$H$69, MATCH(H2,'Recommendations'!$A$2:$A$69,0))="Risk Accepted", FALSE))</xm:f>
            <x14:dxf>
              <font>
                <color rgb="FF000000"/>
              </font>
              <fill>
                <patternFill>
                  <bgColor rgb="FFD9D9D9"/>
                </patternFill>
              </fill>
            </x14:dxf>
          </x14:cfRule>
          <x14:cfRule type="expression" priority="6" id="{00000000-000E-0000-0500-000006000000}">
            <xm:f>AND(H2&lt;&gt;"", IFERROR(INDEX('Recommendations'!$H$2:$H$69, MATCH(H2,'Recommendations'!$A$2:$A$69,0))="N/A",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1545</v>
      </c>
      <c r="B1" s="148" t="s">
        <v>599</v>
      </c>
      <c r="C1" s="148" t="s">
        <v>0</v>
      </c>
      <c r="D1" s="148" t="s">
        <v>600</v>
      </c>
      <c r="E1" s="148" t="s">
        <v>1546</v>
      </c>
      <c r="F1" s="148" t="s">
        <v>1547</v>
      </c>
      <c r="G1" s="148" t="s">
        <v>1548</v>
      </c>
      <c r="H1" s="148" t="s">
        <v>1549</v>
      </c>
      <c r="I1" s="148" t="s">
        <v>605</v>
      </c>
      <c r="J1" s="148" t="s">
        <v>606</v>
      </c>
      <c r="K1" s="148" t="s">
        <v>607</v>
      </c>
      <c r="L1" s="148" t="s">
        <v>608</v>
      </c>
      <c r="M1" s="148" t="s">
        <v>609</v>
      </c>
      <c r="N1" s="148" t="s">
        <v>610</v>
      </c>
      <c r="O1" s="148" t="s">
        <v>611</v>
      </c>
      <c r="P1" s="148" t="s">
        <v>612</v>
      </c>
      <c r="Q1" s="148" t="s">
        <v>613</v>
      </c>
      <c r="R1" s="148" t="s">
        <v>614</v>
      </c>
      <c r="S1" s="148" t="s">
        <v>615</v>
      </c>
      <c r="T1" s="148" t="s">
        <v>616</v>
      </c>
      <c r="U1" s="148" t="s">
        <v>617</v>
      </c>
      <c r="V1" s="148" t="s">
        <v>618</v>
      </c>
      <c r="W1" s="148" t="s">
        <v>619</v>
      </c>
      <c r="X1" s="148" t="s">
        <v>620</v>
      </c>
      <c r="Y1" s="148" t="s">
        <v>621</v>
      </c>
      <c r="Z1" s="148" t="s">
        <v>622</v>
      </c>
      <c r="AA1" s="148" t="s">
        <v>623</v>
      </c>
      <c r="AB1" s="148" t="s">
        <v>624</v>
      </c>
      <c r="AC1" s="148" t="s">
        <v>625</v>
      </c>
      <c r="AD1" s="148" t="s">
        <v>626</v>
      </c>
      <c r="AE1" s="148" t="s">
        <v>627</v>
      </c>
      <c r="AF1" s="148" t="s">
        <v>628</v>
      </c>
      <c r="AG1" s="148" t="s">
        <v>629</v>
      </c>
      <c r="AH1" s="148" t="s">
        <v>630</v>
      </c>
      <c r="AI1" s="148" t="s">
        <v>631</v>
      </c>
      <c r="AJ1" s="148" t="s">
        <v>632</v>
      </c>
      <c r="AK1" s="148" t="s">
        <v>633</v>
      </c>
      <c r="AL1" s="148" t="s">
        <v>634</v>
      </c>
      <c r="AM1" s="148" t="s">
        <v>635</v>
      </c>
      <c r="AN1" s="148" t="s">
        <v>636</v>
      </c>
      <c r="AO1" s="148" t="s">
        <v>637</v>
      </c>
      <c r="AP1" s="148" t="s">
        <v>638</v>
      </c>
      <c r="AQ1" s="148" t="s">
        <v>639</v>
      </c>
      <c r="AR1" s="148" t="s">
        <v>640</v>
      </c>
      <c r="AS1" s="148" t="s">
        <v>641</v>
      </c>
      <c r="AT1" s="148" t="s">
        <v>642</v>
      </c>
      <c r="AU1" s="148" t="s">
        <v>643</v>
      </c>
      <c r="AV1" s="148" t="s">
        <v>644</v>
      </c>
      <c r="AW1" s="149" t="s">
        <v>645</v>
      </c>
    </row>
    <row r="2" spans="1:49" ht="60" customHeight="1" outlineLevel="1" x14ac:dyDescent="0.35">
      <c r="A2" s="141" t="s">
        <v>1550</v>
      </c>
      <c r="B2" s="127"/>
      <c r="C2" s="126" t="s">
        <v>1551</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1550</v>
      </c>
      <c r="B3" s="128" t="s">
        <v>816</v>
      </c>
      <c r="C3" s="129" t="s">
        <v>1552</v>
      </c>
      <c r="D3" s="131" t="s">
        <v>1553</v>
      </c>
      <c r="E3" s="131" t="s">
        <v>1554</v>
      </c>
      <c r="F3" s="131" t="s">
        <v>1555</v>
      </c>
      <c r="G3" s="131" t="s">
        <v>1556</v>
      </c>
      <c r="H3" s="131" t="s">
        <v>1557</v>
      </c>
      <c r="I3" s="133">
        <f>IF(COUNTIF(J3:AW3,"&lt;&gt;")=0,"",SUMPRODUCT(((Recommendations[ImplStatus]="Implemented")+(Recommendations[ImplStatus]="Compensated"))*ISNUMBER(MATCH(Recommendations[Id],J3:AW3,0)))/COUNTIF(J3:AW3,"&lt;&gt;"))</f>
        <v>0</v>
      </c>
      <c r="J3" s="135" t="s">
        <v>241</v>
      </c>
      <c r="K3" s="135" t="s">
        <v>331</v>
      </c>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1550</v>
      </c>
      <c r="B4" s="128" t="s">
        <v>1558</v>
      </c>
      <c r="C4" s="129" t="s">
        <v>1559</v>
      </c>
      <c r="D4" s="131" t="s">
        <v>1560</v>
      </c>
      <c r="E4" s="131" t="s">
        <v>1561</v>
      </c>
      <c r="F4" s="131" t="s">
        <v>1562</v>
      </c>
      <c r="G4" s="131" t="s">
        <v>1563</v>
      </c>
      <c r="H4" s="131" t="s">
        <v>1564</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1550</v>
      </c>
      <c r="B5" s="128" t="s">
        <v>1565</v>
      </c>
      <c r="C5" s="129" t="s">
        <v>1566</v>
      </c>
      <c r="D5" s="131" t="s">
        <v>1567</v>
      </c>
      <c r="E5" s="131" t="s">
        <v>1568</v>
      </c>
      <c r="F5" s="131" t="s">
        <v>1569</v>
      </c>
      <c r="G5" s="131" t="s">
        <v>1570</v>
      </c>
      <c r="H5" s="131" t="s">
        <v>1571</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1550</v>
      </c>
      <c r="B6" s="128" t="s">
        <v>1572</v>
      </c>
      <c r="C6" s="129" t="s">
        <v>1573</v>
      </c>
      <c r="D6" s="131" t="s">
        <v>1574</v>
      </c>
      <c r="E6" s="131" t="s">
        <v>1575</v>
      </c>
      <c r="F6" s="131" t="s">
        <v>1576</v>
      </c>
      <c r="G6" s="131" t="s">
        <v>1577</v>
      </c>
      <c r="H6" s="131" t="s">
        <v>1578</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1550</v>
      </c>
      <c r="B7" s="128" t="s">
        <v>1579</v>
      </c>
      <c r="C7" s="129" t="s">
        <v>1580</v>
      </c>
      <c r="D7" s="131" t="s">
        <v>1581</v>
      </c>
      <c r="E7" s="131" t="s">
        <v>1582</v>
      </c>
      <c r="F7" s="131" t="s">
        <v>1583</v>
      </c>
      <c r="G7" s="131" t="s">
        <v>1584</v>
      </c>
      <c r="H7" s="131" t="s">
        <v>1585</v>
      </c>
      <c r="I7" s="133">
        <f>IF(COUNTIF(J7:AW7,"&lt;&gt;")=0,"",SUMPRODUCT(((Recommendations[ImplStatus]="Implemented")+(Recommendations[ImplStatus]="Compensated"))*ISNUMBER(MATCH(Recommendations[Id],J7:AW7,0)))/COUNTIF(J7:AW7,"&lt;&gt;"))</f>
        <v>0</v>
      </c>
      <c r="J7" s="135" t="s">
        <v>241</v>
      </c>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1550</v>
      </c>
      <c r="B8" s="128" t="s">
        <v>1586</v>
      </c>
      <c r="C8" s="129" t="s">
        <v>1587</v>
      </c>
      <c r="D8" s="131" t="s">
        <v>1588</v>
      </c>
      <c r="E8" s="131" t="s">
        <v>1589</v>
      </c>
      <c r="F8" s="131" t="s">
        <v>1590</v>
      </c>
      <c r="G8" s="131" t="s">
        <v>1584</v>
      </c>
      <c r="H8" s="131" t="s">
        <v>1591</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1550</v>
      </c>
      <c r="B9" s="128" t="s">
        <v>1592</v>
      </c>
      <c r="C9" s="129" t="s">
        <v>1593</v>
      </c>
      <c r="D9" s="131" t="s">
        <v>1594</v>
      </c>
      <c r="E9" s="131" t="s">
        <v>1595</v>
      </c>
      <c r="F9" s="131" t="s">
        <v>1596</v>
      </c>
      <c r="G9" s="131" t="s">
        <v>1597</v>
      </c>
      <c r="H9" s="131" t="s">
        <v>1598</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1550</v>
      </c>
      <c r="B10" s="128" t="s">
        <v>1599</v>
      </c>
      <c r="C10" s="129" t="s">
        <v>1600</v>
      </c>
      <c r="D10" s="131" t="s">
        <v>1601</v>
      </c>
      <c r="E10" s="131" t="s">
        <v>1602</v>
      </c>
      <c r="F10" s="131" t="s">
        <v>1603</v>
      </c>
      <c r="G10" s="131" t="s">
        <v>1604</v>
      </c>
      <c r="H10" s="131" t="s">
        <v>1605</v>
      </c>
      <c r="I10" s="133">
        <f>IF(COUNTIF(J10:AW10,"&lt;&gt;")=0,"",SUMPRODUCT(((Recommendations[ImplStatus]="Implemented")+(Recommendations[ImplStatus]="Compensated"))*ISNUMBER(MATCH(Recommendations[Id],J10:AW10,0)))/COUNTIF(J10:AW10,"&lt;&gt;"))</f>
        <v>0</v>
      </c>
      <c r="J10" s="135" t="s">
        <v>247</v>
      </c>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1550</v>
      </c>
      <c r="B11" s="128" t="s">
        <v>1606</v>
      </c>
      <c r="C11" s="129" t="s">
        <v>1607</v>
      </c>
      <c r="D11" s="131" t="s">
        <v>1608</v>
      </c>
      <c r="E11" s="131" t="s">
        <v>1609</v>
      </c>
      <c r="F11" s="131" t="s">
        <v>1610</v>
      </c>
      <c r="G11" s="131" t="s">
        <v>1611</v>
      </c>
      <c r="H11" s="131" t="s">
        <v>1612</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1550</v>
      </c>
      <c r="B12" s="128" t="s">
        <v>1613</v>
      </c>
      <c r="C12" s="129" t="s">
        <v>1614</v>
      </c>
      <c r="D12" s="131" t="s">
        <v>1615</v>
      </c>
      <c r="E12" s="131" t="s">
        <v>1616</v>
      </c>
      <c r="F12" s="131" t="s">
        <v>1617</v>
      </c>
      <c r="G12" s="131" t="s">
        <v>1604</v>
      </c>
      <c r="H12" s="131" t="s">
        <v>1618</v>
      </c>
      <c r="I12" s="133">
        <f>IF(COUNTIF(J12:AW12,"&lt;&gt;")=0,"",SUMPRODUCT(((Recommendations[ImplStatus]="Implemented")+(Recommendations[ImplStatus]="Compensated"))*ISNUMBER(MATCH(Recommendations[Id],J12:AW12,0)))/COUNTIF(J12:AW12,"&lt;&gt;"))</f>
        <v>0</v>
      </c>
      <c r="J12" s="135" t="s">
        <v>257</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1550</v>
      </c>
      <c r="B13" s="128" t="s">
        <v>1619</v>
      </c>
      <c r="C13" s="129" t="s">
        <v>1620</v>
      </c>
      <c r="D13" s="131" t="s">
        <v>1621</v>
      </c>
      <c r="E13" s="131" t="s">
        <v>1622</v>
      </c>
      <c r="F13" s="131" t="s">
        <v>1623</v>
      </c>
      <c r="G13" s="131" t="s">
        <v>1604</v>
      </c>
      <c r="H13" s="131" t="s">
        <v>1624</v>
      </c>
      <c r="I13" s="133">
        <f>IF(COUNTIF(J13:AW13,"&lt;&gt;")=0,"",SUMPRODUCT(((Recommendations[ImplStatus]="Implemented")+(Recommendations[ImplStatus]="Compensated"))*ISNUMBER(MATCH(Recommendations[Id],J13:AW13,0)))/COUNTIF(J13:AW13,"&lt;&gt;"))</f>
        <v>0</v>
      </c>
      <c r="J13" s="135" t="s">
        <v>257</v>
      </c>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1550</v>
      </c>
      <c r="B14" s="128" t="s">
        <v>1625</v>
      </c>
      <c r="C14" s="129" t="s">
        <v>1626</v>
      </c>
      <c r="D14" s="131" t="s">
        <v>1627</v>
      </c>
      <c r="E14" s="131" t="s">
        <v>1628</v>
      </c>
      <c r="F14" s="131" t="s">
        <v>1629</v>
      </c>
      <c r="G14" s="131" t="s">
        <v>1630</v>
      </c>
      <c r="H14" s="131" t="s">
        <v>1631</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1550</v>
      </c>
      <c r="B15" s="128" t="s">
        <v>1632</v>
      </c>
      <c r="C15" s="129" t="s">
        <v>1633</v>
      </c>
      <c r="D15" s="131" t="s">
        <v>1634</v>
      </c>
      <c r="E15" s="131" t="s">
        <v>1635</v>
      </c>
      <c r="F15" s="131" t="s">
        <v>1636</v>
      </c>
      <c r="G15" s="131" t="s">
        <v>1637</v>
      </c>
      <c r="H15" s="131" t="s">
        <v>1638</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1550</v>
      </c>
      <c r="B16" s="128" t="s">
        <v>1639</v>
      </c>
      <c r="C16" s="129" t="s">
        <v>1640</v>
      </c>
      <c r="D16" s="131" t="s">
        <v>1641</v>
      </c>
      <c r="E16" s="131" t="s">
        <v>1642</v>
      </c>
      <c r="F16" s="131" t="s">
        <v>1643</v>
      </c>
      <c r="G16" s="131" t="s">
        <v>1644</v>
      </c>
      <c r="H16" s="131" t="s">
        <v>1645</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1550</v>
      </c>
      <c r="B17" s="128" t="s">
        <v>1646</v>
      </c>
      <c r="C17" s="129" t="s">
        <v>1647</v>
      </c>
      <c r="D17" s="131" t="s">
        <v>1648</v>
      </c>
      <c r="E17" s="131" t="s">
        <v>1649</v>
      </c>
      <c r="F17" s="131" t="s">
        <v>1650</v>
      </c>
      <c r="G17" s="131" t="s">
        <v>1651</v>
      </c>
      <c r="H17" s="131" t="s">
        <v>1652</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1550</v>
      </c>
      <c r="B18" s="128" t="s">
        <v>1653</v>
      </c>
      <c r="C18" s="129" t="s">
        <v>1654</v>
      </c>
      <c r="D18" s="131" t="s">
        <v>1655</v>
      </c>
      <c r="E18" s="131" t="s">
        <v>1656</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1657</v>
      </c>
      <c r="B19" s="127"/>
      <c r="C19" s="126" t="s">
        <v>1658</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1657</v>
      </c>
      <c r="B20" s="128" t="s">
        <v>1659</v>
      </c>
      <c r="C20" s="129" t="s">
        <v>1660</v>
      </c>
      <c r="D20" s="131" t="s">
        <v>1661</v>
      </c>
      <c r="E20" s="131" t="s">
        <v>1662</v>
      </c>
      <c r="F20" s="131" t="s">
        <v>1663</v>
      </c>
      <c r="G20" s="131" t="s">
        <v>1664</v>
      </c>
      <c r="H20" s="131" t="s">
        <v>1665</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1657</v>
      </c>
      <c r="B21" s="128" t="s">
        <v>1666</v>
      </c>
      <c r="C21" s="129" t="s">
        <v>1667</v>
      </c>
      <c r="D21" s="131" t="s">
        <v>1668</v>
      </c>
      <c r="E21" s="131" t="s">
        <v>1669</v>
      </c>
      <c r="F21" s="131" t="s">
        <v>1670</v>
      </c>
      <c r="G21" s="131" t="s">
        <v>1671</v>
      </c>
      <c r="H21" s="131" t="s">
        <v>1672</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1673</v>
      </c>
      <c r="B22" s="127"/>
      <c r="C22" s="126" t="s">
        <v>1674</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1673</v>
      </c>
      <c r="B23" s="128" t="s">
        <v>1675</v>
      </c>
      <c r="C23" s="129" t="s">
        <v>1676</v>
      </c>
      <c r="D23" s="131" t="s">
        <v>1677</v>
      </c>
      <c r="E23" s="131" t="s">
        <v>1678</v>
      </c>
      <c r="F23" s="131" t="s">
        <v>1679</v>
      </c>
      <c r="G23" s="131" t="s">
        <v>1680</v>
      </c>
      <c r="H23" s="131" t="s">
        <v>1681</v>
      </c>
      <c r="I23" s="133">
        <f>IF(COUNTIF(J23:AW23,"&lt;&gt;")=0,"",SUMPRODUCT(((Recommendations[ImplStatus]="Implemented")+(Recommendations[ImplStatus]="Compensated"))*ISNUMBER(MATCH(Recommendations[Id],J23:AW23,0)))/COUNTIF(J23:AW23,"&lt;&gt;"))</f>
        <v>0</v>
      </c>
      <c r="J23" s="135" t="s">
        <v>14</v>
      </c>
      <c r="K23" s="135" t="s">
        <v>36</v>
      </c>
      <c r="L23" s="135" t="s">
        <v>67</v>
      </c>
      <c r="M23" s="135" t="s">
        <v>182</v>
      </c>
      <c r="N23" s="135" t="s">
        <v>188</v>
      </c>
      <c r="O23" s="135" t="s">
        <v>205</v>
      </c>
      <c r="P23" s="135" t="s">
        <v>281</v>
      </c>
      <c r="Q23" s="135" t="s">
        <v>286</v>
      </c>
      <c r="R23" s="135" t="s">
        <v>291</v>
      </c>
      <c r="S23" s="135" t="s">
        <v>312</v>
      </c>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1673</v>
      </c>
      <c r="B24" s="128" t="s">
        <v>1682</v>
      </c>
      <c r="C24" s="129" t="s">
        <v>1683</v>
      </c>
      <c r="D24" s="131" t="s">
        <v>1684</v>
      </c>
      <c r="E24" s="131" t="s">
        <v>1685</v>
      </c>
      <c r="F24" s="131" t="s">
        <v>1686</v>
      </c>
      <c r="G24" s="131" t="s">
        <v>1687</v>
      </c>
      <c r="H24" s="131" t="s">
        <v>1688</v>
      </c>
      <c r="I24" s="133">
        <f>IF(COUNTIF(J24:AW24,"&lt;&gt;")=0,"",SUMPRODUCT(((Recommendations[ImplStatus]="Implemented")+(Recommendations[ImplStatus]="Compensated"))*ISNUMBER(MATCH(Recommendations[Id],J24:AW24,0)))/COUNTIF(J24:AW24,"&lt;&gt;"))</f>
        <v>0</v>
      </c>
      <c r="J24" s="135" t="s">
        <v>14</v>
      </c>
      <c r="K24" s="135" t="s">
        <v>67</v>
      </c>
      <c r="L24" s="135" t="s">
        <v>182</v>
      </c>
      <c r="M24" s="135" t="s">
        <v>188</v>
      </c>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1673</v>
      </c>
      <c r="B25" s="128" t="s">
        <v>1689</v>
      </c>
      <c r="C25" s="129" t="s">
        <v>1690</v>
      </c>
      <c r="D25" s="131" t="s">
        <v>1691</v>
      </c>
      <c r="E25" s="131" t="s">
        <v>1692</v>
      </c>
      <c r="F25" s="131" t="s">
        <v>1693</v>
      </c>
      <c r="G25" s="131" t="s">
        <v>1694</v>
      </c>
      <c r="H25" s="131" t="s">
        <v>1695</v>
      </c>
      <c r="I25" s="133">
        <f>IF(COUNTIF(J25:AW25,"&lt;&gt;")=0,"",SUMPRODUCT(((Recommendations[ImplStatus]="Implemented")+(Recommendations[ImplStatus]="Compensated"))*ISNUMBER(MATCH(Recommendations[Id],J25:AW25,0)))/COUNTIF(J25:AW25,"&lt;&gt;"))</f>
        <v>0</v>
      </c>
      <c r="J25" s="135" t="s">
        <v>36</v>
      </c>
      <c r="K25" s="135" t="s">
        <v>205</v>
      </c>
      <c r="L25" s="135" t="s">
        <v>286</v>
      </c>
      <c r="M25" s="135" t="s">
        <v>291</v>
      </c>
      <c r="N25" s="135" t="s">
        <v>312</v>
      </c>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1673</v>
      </c>
      <c r="B26" s="128" t="s">
        <v>1696</v>
      </c>
      <c r="C26" s="129" t="s">
        <v>1697</v>
      </c>
      <c r="D26" s="131" t="s">
        <v>1698</v>
      </c>
      <c r="E26" s="131" t="s">
        <v>1699</v>
      </c>
      <c r="F26" s="131" t="s">
        <v>1700</v>
      </c>
      <c r="G26" s="131" t="s">
        <v>1687</v>
      </c>
      <c r="H26" s="131" t="s">
        <v>1701</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1673</v>
      </c>
      <c r="B27" s="128" t="s">
        <v>1702</v>
      </c>
      <c r="C27" s="129" t="s">
        <v>1703</v>
      </c>
      <c r="D27" s="131" t="s">
        <v>1704</v>
      </c>
      <c r="E27" s="131" t="s">
        <v>1705</v>
      </c>
      <c r="F27" s="131" t="s">
        <v>1706</v>
      </c>
      <c r="G27" s="131" t="s">
        <v>1707</v>
      </c>
      <c r="H27" s="131" t="s">
        <v>1708</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1673</v>
      </c>
      <c r="B28" s="128" t="s">
        <v>1709</v>
      </c>
      <c r="C28" s="129" t="s">
        <v>1710</v>
      </c>
      <c r="D28" s="131" t="s">
        <v>1711</v>
      </c>
      <c r="E28" s="131" t="s">
        <v>1712</v>
      </c>
      <c r="F28" s="131" t="s">
        <v>1713</v>
      </c>
      <c r="G28" s="131" t="s">
        <v>1714</v>
      </c>
      <c r="H28" s="131" t="s">
        <v>1715</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1673</v>
      </c>
      <c r="B29" s="128" t="s">
        <v>1716</v>
      </c>
      <c r="C29" s="129" t="s">
        <v>1717</v>
      </c>
      <c r="D29" s="131" t="s">
        <v>1718</v>
      </c>
      <c r="E29" s="131" t="s">
        <v>1719</v>
      </c>
      <c r="F29" s="131" t="s">
        <v>1720</v>
      </c>
      <c r="G29" s="131" t="s">
        <v>1604</v>
      </c>
      <c r="H29" s="131" t="s">
        <v>1721</v>
      </c>
      <c r="I29" s="133">
        <f>IF(COUNTIF(J29:AW29,"&lt;&gt;")=0,"",SUMPRODUCT(((Recommendations[ImplStatus]="Implemented")+(Recommendations[ImplStatus]="Compensated"))*ISNUMBER(MATCH(Recommendations[Id],J29:AW29,0)))/COUNTIF(J29:AW29,"&lt;&gt;"))</f>
        <v>0</v>
      </c>
      <c r="J29" s="135" t="s">
        <v>262</v>
      </c>
      <c r="K29" s="135" t="s">
        <v>267</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1673</v>
      </c>
      <c r="B30" s="128" t="s">
        <v>1722</v>
      </c>
      <c r="C30" s="129" t="s">
        <v>1723</v>
      </c>
      <c r="D30" s="131" t="s">
        <v>1724</v>
      </c>
      <c r="E30" s="131" t="s">
        <v>1725</v>
      </c>
      <c r="F30" s="131" t="s">
        <v>1726</v>
      </c>
      <c r="G30" s="131" t="s">
        <v>1687</v>
      </c>
      <c r="H30" s="131" t="s">
        <v>1727</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1728</v>
      </c>
      <c r="B31" s="127"/>
      <c r="C31" s="126" t="s">
        <v>1729</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1728</v>
      </c>
      <c r="B32" s="128" t="s">
        <v>1730</v>
      </c>
      <c r="C32" s="129" t="s">
        <v>1731</v>
      </c>
      <c r="D32" s="131" t="s">
        <v>1732</v>
      </c>
      <c r="E32" s="131" t="s">
        <v>1733</v>
      </c>
      <c r="F32" s="131" t="s">
        <v>1734</v>
      </c>
      <c r="G32" s="131" t="s">
        <v>1735</v>
      </c>
      <c r="H32" s="131" t="s">
        <v>1736</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1728</v>
      </c>
      <c r="B33" s="128" t="s">
        <v>1737</v>
      </c>
      <c r="C33" s="129" t="s">
        <v>1738</v>
      </c>
      <c r="D33" s="131" t="s">
        <v>1739</v>
      </c>
      <c r="E33" s="131" t="s">
        <v>1740</v>
      </c>
      <c r="F33" s="131" t="s">
        <v>1741</v>
      </c>
      <c r="G33" s="131" t="s">
        <v>1742</v>
      </c>
      <c r="H33" s="131" t="s">
        <v>1743</v>
      </c>
      <c r="I33" s="133">
        <f>IF(COUNTIF(J33:AW33,"&lt;&gt;")=0,"",SUMPRODUCT(((Recommendations[ImplStatus]="Implemented")+(Recommendations[ImplStatus]="Compensated"))*ISNUMBER(MATCH(Recommendations[Id],J33:AW33,0)))/COUNTIF(J33:AW33,"&lt;&gt;"))</f>
        <v>0</v>
      </c>
      <c r="J33" s="135" t="s">
        <v>51</v>
      </c>
      <c r="K33" s="135" t="s">
        <v>149</v>
      </c>
      <c r="L33" s="135" t="s">
        <v>154</v>
      </c>
      <c r="M33" s="135" t="s">
        <v>159</v>
      </c>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1728</v>
      </c>
      <c r="B34" s="128" t="s">
        <v>1744</v>
      </c>
      <c r="C34" s="129" t="s">
        <v>1745</v>
      </c>
      <c r="D34" s="131" t="s">
        <v>1746</v>
      </c>
      <c r="E34" s="131" t="s">
        <v>1747</v>
      </c>
      <c r="F34" s="131" t="s">
        <v>1748</v>
      </c>
      <c r="G34" s="131" t="s">
        <v>1749</v>
      </c>
      <c r="H34" s="131" t="s">
        <v>1750</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1728</v>
      </c>
      <c r="B35" s="128" t="s">
        <v>1751</v>
      </c>
      <c r="C35" s="129" t="s">
        <v>1752</v>
      </c>
      <c r="D35" s="131" t="s">
        <v>1753</v>
      </c>
      <c r="E35" s="131" t="s">
        <v>1754</v>
      </c>
      <c r="F35" s="131" t="s">
        <v>1755</v>
      </c>
      <c r="G35" s="131" t="s">
        <v>1756</v>
      </c>
      <c r="H35" s="131" t="s">
        <v>1757</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1728</v>
      </c>
      <c r="B36" s="128" t="s">
        <v>1758</v>
      </c>
      <c r="C36" s="129" t="s">
        <v>1759</v>
      </c>
      <c r="D36" s="131" t="s">
        <v>1760</v>
      </c>
      <c r="E36" s="131" t="s">
        <v>1761</v>
      </c>
      <c r="F36" s="131" t="s">
        <v>1762</v>
      </c>
      <c r="G36" s="131" t="s">
        <v>1763</v>
      </c>
      <c r="H36" s="131" t="s">
        <v>1764</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1728</v>
      </c>
      <c r="B37" s="128" t="s">
        <v>1765</v>
      </c>
      <c r="C37" s="129" t="s">
        <v>1766</v>
      </c>
      <c r="D37" s="131" t="s">
        <v>1767</v>
      </c>
      <c r="E37" s="131" t="s">
        <v>1768</v>
      </c>
      <c r="F37" s="131" t="s">
        <v>1769</v>
      </c>
      <c r="G37" s="131" t="s">
        <v>1770</v>
      </c>
      <c r="H37" s="131" t="s">
        <v>1771</v>
      </c>
      <c r="I37" s="133">
        <f>IF(COUNTIF(J37:AW37,"&lt;&gt;")=0,"",SUMPRODUCT(((Recommendations[ImplStatus]="Implemented")+(Recommendations[ImplStatus]="Compensated"))*ISNUMBER(MATCH(Recommendations[Id],J37:AW37,0)))/COUNTIF(J37:AW37,"&lt;&gt;"))</f>
        <v>0</v>
      </c>
      <c r="J37" s="135" t="s">
        <v>108</v>
      </c>
      <c r="K37" s="135" t="s">
        <v>113</v>
      </c>
      <c r="L37" s="135" t="s">
        <v>118</v>
      </c>
      <c r="M37" s="135" t="s">
        <v>169</v>
      </c>
      <c r="N37" s="135" t="s">
        <v>174</v>
      </c>
      <c r="O37" s="135" t="s">
        <v>178</v>
      </c>
      <c r="P37" s="135" t="s">
        <v>222</v>
      </c>
      <c r="Q37" s="135" t="s">
        <v>227</v>
      </c>
      <c r="R37" s="135" t="s">
        <v>237</v>
      </c>
      <c r="S37" s="135" t="s">
        <v>321</v>
      </c>
      <c r="T37" s="135" t="s">
        <v>326</v>
      </c>
      <c r="U37" s="135" t="s">
        <v>341</v>
      </c>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1728</v>
      </c>
      <c r="B38" s="128" t="s">
        <v>1772</v>
      </c>
      <c r="C38" s="129" t="s">
        <v>1773</v>
      </c>
      <c r="D38" s="131" t="s">
        <v>1774</v>
      </c>
      <c r="E38" s="131" t="s">
        <v>1775</v>
      </c>
      <c r="F38" s="131" t="s">
        <v>1776</v>
      </c>
      <c r="G38" s="131" t="s">
        <v>1777</v>
      </c>
      <c r="H38" s="131" t="s">
        <v>1778</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1728</v>
      </c>
      <c r="B39" s="128" t="s">
        <v>1779</v>
      </c>
      <c r="C39" s="129" t="s">
        <v>1780</v>
      </c>
      <c r="D39" s="131" t="s">
        <v>1781</v>
      </c>
      <c r="E39" s="131" t="s">
        <v>1782</v>
      </c>
      <c r="F39" s="131" t="s">
        <v>1783</v>
      </c>
      <c r="G39" s="131" t="s">
        <v>1784</v>
      </c>
      <c r="H39" s="131" t="s">
        <v>1785</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1728</v>
      </c>
      <c r="B40" s="128" t="s">
        <v>1786</v>
      </c>
      <c r="C40" s="129" t="s">
        <v>1787</v>
      </c>
      <c r="D40" s="131" t="s">
        <v>1788</v>
      </c>
      <c r="E40" s="131" t="s">
        <v>1789</v>
      </c>
      <c r="F40" s="131" t="s">
        <v>1790</v>
      </c>
      <c r="G40" s="131" t="s">
        <v>1791</v>
      </c>
      <c r="H40" s="131" t="s">
        <v>1792</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1728</v>
      </c>
      <c r="B41" s="128" t="s">
        <v>1793</v>
      </c>
      <c r="C41" s="129" t="s">
        <v>1794</v>
      </c>
      <c r="D41" s="131" t="s">
        <v>1795</v>
      </c>
      <c r="E41" s="131" t="s">
        <v>1796</v>
      </c>
      <c r="F41" s="131" t="s">
        <v>1797</v>
      </c>
      <c r="G41" s="131" t="s">
        <v>1735</v>
      </c>
      <c r="H41" s="131" t="s">
        <v>1798</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1799</v>
      </c>
      <c r="B42" s="127"/>
      <c r="C42" s="126" t="s">
        <v>1800</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1799</v>
      </c>
      <c r="B43" s="128" t="s">
        <v>1801</v>
      </c>
      <c r="C43" s="129" t="s">
        <v>1802</v>
      </c>
      <c r="D43" s="131" t="s">
        <v>1803</v>
      </c>
      <c r="E43" s="131" t="s">
        <v>1804</v>
      </c>
      <c r="F43" s="131" t="s">
        <v>1805</v>
      </c>
      <c r="G43" s="131" t="s">
        <v>1806</v>
      </c>
      <c r="H43" s="131" t="s">
        <v>1807</v>
      </c>
      <c r="I43" s="133">
        <f>IF(COUNTIF(J43:AW43,"&lt;&gt;")=0,"",SUMPRODUCT(((Recommendations[ImplStatus]="Implemented")+(Recommendations[ImplStatus]="Compensated"))*ISNUMBER(MATCH(Recommendations[Id],J43:AW43,0)))/COUNTIF(J43:AW43,"&lt;&gt;"))</f>
        <v>0</v>
      </c>
      <c r="J43" s="135" t="s">
        <v>294</v>
      </c>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1799</v>
      </c>
      <c r="B44" s="128" t="s">
        <v>1808</v>
      </c>
      <c r="C44" s="129" t="s">
        <v>1809</v>
      </c>
      <c r="D44" s="131" t="s">
        <v>1810</v>
      </c>
      <c r="E44" s="131" t="s">
        <v>1811</v>
      </c>
      <c r="F44" s="131" t="s">
        <v>1812</v>
      </c>
      <c r="G44" s="131" t="s">
        <v>1813</v>
      </c>
      <c r="H44" s="131" t="s">
        <v>1814</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1799</v>
      </c>
      <c r="B45" s="128" t="s">
        <v>1815</v>
      </c>
      <c r="C45" s="129" t="s">
        <v>1816</v>
      </c>
      <c r="D45" s="131" t="s">
        <v>1817</v>
      </c>
      <c r="E45" s="131" t="s">
        <v>1818</v>
      </c>
      <c r="F45" s="131" t="s">
        <v>1819</v>
      </c>
      <c r="G45" s="131" t="s">
        <v>1820</v>
      </c>
      <c r="H45" s="131" t="s">
        <v>1821</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1799</v>
      </c>
      <c r="B46" s="128" t="s">
        <v>1822</v>
      </c>
      <c r="C46" s="129" t="s">
        <v>1823</v>
      </c>
      <c r="D46" s="131" t="s">
        <v>1824</v>
      </c>
      <c r="E46" s="131" t="s">
        <v>1825</v>
      </c>
      <c r="F46" s="131" t="s">
        <v>1826</v>
      </c>
      <c r="G46" s="131" t="s">
        <v>1820</v>
      </c>
      <c r="H46" s="131" t="s">
        <v>1827</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1799</v>
      </c>
      <c r="B47" s="128" t="s">
        <v>1828</v>
      </c>
      <c r="C47" s="129" t="s">
        <v>1829</v>
      </c>
      <c r="D47" s="131" t="s">
        <v>1830</v>
      </c>
      <c r="E47" s="131" t="s">
        <v>1831</v>
      </c>
      <c r="F47" s="131" t="s">
        <v>1832</v>
      </c>
      <c r="G47" s="131" t="s">
        <v>1833</v>
      </c>
      <c r="H47" s="131" t="s">
        <v>1834</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1799</v>
      </c>
      <c r="B48" s="128" t="s">
        <v>1835</v>
      </c>
      <c r="C48" s="129" t="s">
        <v>1836</v>
      </c>
      <c r="D48" s="131" t="s">
        <v>1837</v>
      </c>
      <c r="E48" s="131" t="s">
        <v>1838</v>
      </c>
      <c r="F48" s="131" t="s">
        <v>1839</v>
      </c>
      <c r="G48" s="131" t="s">
        <v>1840</v>
      </c>
      <c r="H48" s="131" t="s">
        <v>1841</v>
      </c>
      <c r="I48" s="133">
        <f>IF(COUNTIF(J48:AW48,"&lt;&gt;")=0,"",SUMPRODUCT(((Recommendations[ImplStatus]="Implemented")+(Recommendations[ImplStatus]="Compensated"))*ISNUMBER(MATCH(Recommendations[Id],J48:AW48,0)))/COUNTIF(J48:AW48,"&lt;&gt;"))</f>
        <v>0</v>
      </c>
      <c r="J48" s="135" t="s">
        <v>144</v>
      </c>
      <c r="K48" s="135" t="s">
        <v>252</v>
      </c>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1799</v>
      </c>
      <c r="B49" s="128" t="s">
        <v>1842</v>
      </c>
      <c r="C49" s="129" t="s">
        <v>1843</v>
      </c>
      <c r="D49" s="131" t="s">
        <v>1844</v>
      </c>
      <c r="E49" s="131" t="s">
        <v>1845</v>
      </c>
      <c r="F49" s="131" t="s">
        <v>1846</v>
      </c>
      <c r="G49" s="131" t="s">
        <v>1604</v>
      </c>
      <c r="H49" s="131" t="s">
        <v>1847</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1799</v>
      </c>
      <c r="B50" s="128" t="s">
        <v>1848</v>
      </c>
      <c r="C50" s="129" t="s">
        <v>1849</v>
      </c>
      <c r="D50" s="131" t="s">
        <v>1850</v>
      </c>
      <c r="E50" s="131" t="s">
        <v>1851</v>
      </c>
      <c r="F50" s="131" t="s">
        <v>1852</v>
      </c>
      <c r="G50" s="131" t="s">
        <v>1853</v>
      </c>
      <c r="H50" s="131" t="s">
        <v>1854</v>
      </c>
      <c r="I50" s="133">
        <f>IF(COUNTIF(J50:AW50,"&lt;&gt;")=0,"",SUMPRODUCT(((Recommendations[ImplStatus]="Implemented")+(Recommendations[ImplStatus]="Compensated"))*ISNUMBER(MATCH(Recommendations[Id],J50:AW50,0)))/COUNTIF(J50:AW50,"&lt;&gt;"))</f>
        <v>0</v>
      </c>
      <c r="J50" s="135" t="s">
        <v>272</v>
      </c>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1855</v>
      </c>
      <c r="B51" s="127"/>
      <c r="C51" s="126" t="s">
        <v>1856</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1855</v>
      </c>
      <c r="B52" s="128" t="s">
        <v>1857</v>
      </c>
      <c r="C52" s="129" t="s">
        <v>1858</v>
      </c>
      <c r="D52" s="131" t="s">
        <v>1859</v>
      </c>
      <c r="E52" s="131" t="s">
        <v>1860</v>
      </c>
      <c r="F52" s="131" t="s">
        <v>1861</v>
      </c>
      <c r="G52" s="131" t="s">
        <v>1862</v>
      </c>
      <c r="H52" s="131" t="s">
        <v>1863</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1855</v>
      </c>
      <c r="B53" s="128" t="s">
        <v>1864</v>
      </c>
      <c r="C53" s="129" t="s">
        <v>1865</v>
      </c>
      <c r="D53" s="131" t="s">
        <v>1866</v>
      </c>
      <c r="E53" s="131" t="s">
        <v>1867</v>
      </c>
      <c r="F53" s="131" t="s">
        <v>1868</v>
      </c>
      <c r="G53" s="131" t="s">
        <v>1869</v>
      </c>
      <c r="H53" s="131" t="s">
        <v>1870</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1855</v>
      </c>
      <c r="B54" s="128" t="s">
        <v>1871</v>
      </c>
      <c r="C54" s="129" t="s">
        <v>1872</v>
      </c>
      <c r="D54" s="131" t="s">
        <v>1873</v>
      </c>
      <c r="E54" s="131" t="s">
        <v>1874</v>
      </c>
      <c r="F54" s="131" t="s">
        <v>1875</v>
      </c>
      <c r="G54" s="131" t="s">
        <v>1876</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1855</v>
      </c>
      <c r="B55" s="128" t="s">
        <v>1877</v>
      </c>
      <c r="C55" s="129" t="s">
        <v>1878</v>
      </c>
      <c r="D55" s="131" t="s">
        <v>1879</v>
      </c>
      <c r="E55" s="131" t="s">
        <v>1880</v>
      </c>
      <c r="F55" s="131" t="s">
        <v>1881</v>
      </c>
      <c r="G55" s="131" t="s">
        <v>1882</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1855</v>
      </c>
      <c r="B56" s="128" t="s">
        <v>1883</v>
      </c>
      <c r="C56" s="129" t="s">
        <v>1884</v>
      </c>
      <c r="D56" s="131" t="s">
        <v>1885</v>
      </c>
      <c r="E56" s="131" t="s">
        <v>1886</v>
      </c>
      <c r="F56" s="131" t="s">
        <v>1887</v>
      </c>
      <c r="G56" s="131" t="s">
        <v>1888</v>
      </c>
      <c r="H56" s="131" t="s">
        <v>1889</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1890</v>
      </c>
      <c r="B57" s="127"/>
      <c r="C57" s="126" t="s">
        <v>1891</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1890</v>
      </c>
      <c r="B58" s="128" t="s">
        <v>1892</v>
      </c>
      <c r="C58" s="129" t="s">
        <v>1893</v>
      </c>
      <c r="D58" s="131" t="s">
        <v>1894</v>
      </c>
      <c r="E58" s="131" t="s">
        <v>1895</v>
      </c>
      <c r="F58" s="131" t="s">
        <v>1896</v>
      </c>
      <c r="G58" s="131" t="s">
        <v>1897</v>
      </c>
      <c r="H58" s="131" t="s">
        <v>1898</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1890</v>
      </c>
      <c r="B59" s="128" t="s">
        <v>1899</v>
      </c>
      <c r="C59" s="129" t="s">
        <v>1900</v>
      </c>
      <c r="D59" s="131" t="s">
        <v>1901</v>
      </c>
      <c r="E59" s="131" t="s">
        <v>1902</v>
      </c>
      <c r="F59" s="131" t="s">
        <v>1903</v>
      </c>
      <c r="G59" s="131" t="s">
        <v>1904</v>
      </c>
      <c r="H59" s="131" t="s">
        <v>1905</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1890</v>
      </c>
      <c r="B60" s="128" t="s">
        <v>1906</v>
      </c>
      <c r="C60" s="129" t="s">
        <v>1907</v>
      </c>
      <c r="D60" s="131" t="s">
        <v>1908</v>
      </c>
      <c r="E60" s="131" t="s">
        <v>1909</v>
      </c>
      <c r="F60" s="131" t="s">
        <v>1910</v>
      </c>
      <c r="G60" s="131" t="s">
        <v>1911</v>
      </c>
      <c r="H60" s="131" t="s">
        <v>1912</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1913</v>
      </c>
      <c r="B61" s="127"/>
      <c r="C61" s="126" t="s">
        <v>1914</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1913</v>
      </c>
      <c r="B62" s="128" t="s">
        <v>1915</v>
      </c>
      <c r="C62" s="129" t="s">
        <v>1916</v>
      </c>
      <c r="D62" s="131" t="s">
        <v>1917</v>
      </c>
      <c r="E62" s="131" t="s">
        <v>1918</v>
      </c>
      <c r="F62" s="131" t="s">
        <v>1919</v>
      </c>
      <c r="G62" s="131" t="s">
        <v>1920</v>
      </c>
      <c r="H62" s="131" t="s">
        <v>1921</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1913</v>
      </c>
      <c r="B63" s="128" t="s">
        <v>1922</v>
      </c>
      <c r="C63" s="129" t="s">
        <v>1923</v>
      </c>
      <c r="D63" s="131" t="s">
        <v>1924</v>
      </c>
      <c r="E63" s="131" t="s">
        <v>1925</v>
      </c>
      <c r="F63" s="131" t="s">
        <v>1926</v>
      </c>
      <c r="G63" s="131" t="s">
        <v>1927</v>
      </c>
      <c r="H63" s="131" t="s">
        <v>1928</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1913</v>
      </c>
      <c r="B64" s="128" t="s">
        <v>1929</v>
      </c>
      <c r="C64" s="129" t="s">
        <v>1930</v>
      </c>
      <c r="D64" s="131" t="s">
        <v>1931</v>
      </c>
      <c r="E64" s="131" t="s">
        <v>1932</v>
      </c>
      <c r="F64" s="131" t="s">
        <v>1933</v>
      </c>
      <c r="G64" s="131" t="s">
        <v>1934</v>
      </c>
      <c r="H64" s="131" t="s">
        <v>1935</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1913</v>
      </c>
      <c r="B65" s="128" t="s">
        <v>1936</v>
      </c>
      <c r="C65" s="129" t="s">
        <v>1937</v>
      </c>
      <c r="D65" s="131" t="s">
        <v>1938</v>
      </c>
      <c r="E65" s="131" t="s">
        <v>1939</v>
      </c>
      <c r="F65" s="131" t="s">
        <v>1940</v>
      </c>
      <c r="G65" s="131" t="s">
        <v>1941</v>
      </c>
      <c r="H65" s="131" t="s">
        <v>1942</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1913</v>
      </c>
      <c r="B66" s="128" t="s">
        <v>1943</v>
      </c>
      <c r="C66" s="129" t="s">
        <v>1944</v>
      </c>
      <c r="D66" s="131" t="s">
        <v>1945</v>
      </c>
      <c r="E66" s="131" t="s">
        <v>1946</v>
      </c>
      <c r="F66" s="131" t="s">
        <v>1947</v>
      </c>
      <c r="G66" s="131" t="s">
        <v>1948</v>
      </c>
      <c r="H66" s="131" t="s">
        <v>1949</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1913</v>
      </c>
      <c r="B67" s="128" t="s">
        <v>1950</v>
      </c>
      <c r="C67" s="129" t="s">
        <v>1951</v>
      </c>
      <c r="D67" s="131" t="s">
        <v>1952</v>
      </c>
      <c r="E67" s="131" t="s">
        <v>1953</v>
      </c>
      <c r="F67" s="131" t="s">
        <v>1954</v>
      </c>
      <c r="G67" s="131" t="s">
        <v>1955</v>
      </c>
      <c r="H67" s="131" t="s">
        <v>1956</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1913</v>
      </c>
      <c r="B68" s="128" t="s">
        <v>1957</v>
      </c>
      <c r="C68" s="129" t="s">
        <v>1958</v>
      </c>
      <c r="D68" s="131" t="s">
        <v>1959</v>
      </c>
      <c r="E68" s="131" t="s">
        <v>1960</v>
      </c>
      <c r="F68" s="131" t="s">
        <v>1961</v>
      </c>
      <c r="G68" s="131" t="s">
        <v>1962</v>
      </c>
      <c r="H68" s="131" t="s">
        <v>1963</v>
      </c>
      <c r="I68" s="133">
        <f>IF(COUNTIF(J68:AW68,"&lt;&gt;")=0,"",SUMPRODUCT(((Recommendations[ImplStatus]="Implemented")+(Recommendations[ImplStatus]="Compensated"))*ISNUMBER(MATCH(Recommendations[Id],J68:AW68,0)))/COUNTIF(J68:AW68,"&lt;&gt;"))</f>
        <v>0</v>
      </c>
      <c r="J68" s="135" t="s">
        <v>56</v>
      </c>
      <c r="K68" s="135" t="s">
        <v>62</v>
      </c>
      <c r="L68" s="135" t="s">
        <v>299</v>
      </c>
      <c r="M68" s="135" t="s">
        <v>304</v>
      </c>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1964</v>
      </c>
      <c r="B69" s="127"/>
      <c r="C69" s="126" t="s">
        <v>1965</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1964</v>
      </c>
      <c r="B70" s="128" t="s">
        <v>1966</v>
      </c>
      <c r="C70" s="129" t="s">
        <v>1967</v>
      </c>
      <c r="D70" s="131" t="s">
        <v>1968</v>
      </c>
      <c r="E70" s="131" t="s">
        <v>1969</v>
      </c>
      <c r="F70" s="131" t="s">
        <v>1970</v>
      </c>
      <c r="G70" s="131" t="s">
        <v>1971</v>
      </c>
      <c r="H70" s="131" t="s">
        <v>1972</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1964</v>
      </c>
      <c r="B71" s="128" t="s">
        <v>1973</v>
      </c>
      <c r="C71" s="129" t="s">
        <v>1974</v>
      </c>
      <c r="D71" s="131" t="s">
        <v>1975</v>
      </c>
      <c r="E71" s="131" t="s">
        <v>1976</v>
      </c>
      <c r="F71" s="131" t="s">
        <v>1977</v>
      </c>
      <c r="G71" s="131" t="s">
        <v>1978</v>
      </c>
      <c r="H71" s="131" t="s">
        <v>1979</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1980</v>
      </c>
      <c r="B72" s="127"/>
      <c r="C72" s="126" t="s">
        <v>1981</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1980</v>
      </c>
      <c r="B73" s="128" t="s">
        <v>1982</v>
      </c>
      <c r="C73" s="129" t="s">
        <v>1983</v>
      </c>
      <c r="D73" s="131" t="s">
        <v>1984</v>
      </c>
      <c r="E73" s="131" t="s">
        <v>1985</v>
      </c>
      <c r="F73" s="131" t="s">
        <v>1986</v>
      </c>
      <c r="G73" s="131" t="s">
        <v>1987</v>
      </c>
      <c r="H73" s="131" t="s">
        <v>1988</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1980</v>
      </c>
      <c r="B74" s="128" t="s">
        <v>1989</v>
      </c>
      <c r="C74" s="129" t="s">
        <v>1990</v>
      </c>
      <c r="D74" s="131" t="s">
        <v>1991</v>
      </c>
      <c r="E74" s="131" t="s">
        <v>1992</v>
      </c>
      <c r="F74" s="131" t="s">
        <v>1993</v>
      </c>
      <c r="G74" s="131" t="s">
        <v>1994</v>
      </c>
      <c r="H74" s="131" t="s">
        <v>1995</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1980</v>
      </c>
      <c r="B75" s="128" t="s">
        <v>1996</v>
      </c>
      <c r="C75" s="129" t="s">
        <v>1997</v>
      </c>
      <c r="D75" s="131" t="s">
        <v>1998</v>
      </c>
      <c r="E75" s="131" t="s">
        <v>1999</v>
      </c>
      <c r="F75" s="131" t="s">
        <v>2000</v>
      </c>
      <c r="G75" s="131" t="s">
        <v>2001</v>
      </c>
      <c r="H75" s="131" t="s">
        <v>2002</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1980</v>
      </c>
      <c r="B76" s="128" t="s">
        <v>2003</v>
      </c>
      <c r="C76" s="129" t="s">
        <v>2004</v>
      </c>
      <c r="D76" s="131" t="s">
        <v>2005</v>
      </c>
      <c r="E76" s="131" t="s">
        <v>2006</v>
      </c>
      <c r="F76" s="131" t="s">
        <v>2007</v>
      </c>
      <c r="G76" s="131" t="s">
        <v>2008</v>
      </c>
      <c r="H76" s="131" t="s">
        <v>2009</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1980</v>
      </c>
      <c r="B77" s="128" t="s">
        <v>2010</v>
      </c>
      <c r="C77" s="129" t="s">
        <v>2011</v>
      </c>
      <c r="D77" s="131" t="s">
        <v>2012</v>
      </c>
      <c r="E77" s="131" t="s">
        <v>2013</v>
      </c>
      <c r="F77" s="131" t="s">
        <v>2014</v>
      </c>
      <c r="G77" s="131" t="s">
        <v>2008</v>
      </c>
      <c r="H77" s="131" t="s">
        <v>2015</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2016</v>
      </c>
      <c r="B78" s="127"/>
      <c r="C78" s="126" t="s">
        <v>2017</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2016</v>
      </c>
      <c r="B79" s="128" t="s">
        <v>2016</v>
      </c>
      <c r="C79" s="129" t="s">
        <v>2018</v>
      </c>
      <c r="D79" s="131" t="s">
        <v>2019</v>
      </c>
      <c r="E79" s="131" t="s">
        <v>2020</v>
      </c>
      <c r="F79" s="131" t="s">
        <v>2021</v>
      </c>
      <c r="G79" s="131" t="s">
        <v>2022</v>
      </c>
      <c r="H79" s="131" t="s">
        <v>2023</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2016</v>
      </c>
      <c r="B80" s="128" t="s">
        <v>2024</v>
      </c>
      <c r="C80" s="129" t="s">
        <v>2025</v>
      </c>
      <c r="D80" s="131" t="s">
        <v>2026</v>
      </c>
      <c r="E80" s="131" t="s">
        <v>2027</v>
      </c>
      <c r="F80" s="131" t="s">
        <v>2028</v>
      </c>
      <c r="G80" s="131" t="s">
        <v>2029</v>
      </c>
      <c r="H80" s="131" t="s">
        <v>2030</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2016</v>
      </c>
      <c r="B81" s="128" t="s">
        <v>2031</v>
      </c>
      <c r="C81" s="129" t="s">
        <v>2032</v>
      </c>
      <c r="D81" s="131" t="s">
        <v>2033</v>
      </c>
      <c r="E81" s="131" t="s">
        <v>2034</v>
      </c>
      <c r="F81" s="131" t="s">
        <v>2035</v>
      </c>
      <c r="G81" s="131" t="s">
        <v>2036</v>
      </c>
      <c r="H81" s="131" t="s">
        <v>2037</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2038</v>
      </c>
      <c r="B82" s="127"/>
      <c r="C82" s="126" t="s">
        <v>2039</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2038</v>
      </c>
      <c r="B83" s="128" t="s">
        <v>2040</v>
      </c>
      <c r="C83" s="129" t="s">
        <v>2041</v>
      </c>
      <c r="D83" s="131" t="s">
        <v>2042</v>
      </c>
      <c r="E83" s="131" t="s">
        <v>2043</v>
      </c>
      <c r="F83" s="131" t="s">
        <v>2044</v>
      </c>
      <c r="G83" s="131" t="s">
        <v>2045</v>
      </c>
      <c r="H83" s="131" t="s">
        <v>2046</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2038</v>
      </c>
      <c r="B84" s="128" t="s">
        <v>2047</v>
      </c>
      <c r="C84" s="129" t="s">
        <v>2048</v>
      </c>
      <c r="D84" s="131" t="s">
        <v>2049</v>
      </c>
      <c r="E84" s="131" t="s">
        <v>2050</v>
      </c>
      <c r="F84" s="131" t="s">
        <v>2051</v>
      </c>
      <c r="G84" s="131" t="s">
        <v>2052</v>
      </c>
      <c r="H84" s="131" t="s">
        <v>2053</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2038</v>
      </c>
      <c r="B85" s="128" t="s">
        <v>2054</v>
      </c>
      <c r="C85" s="129" t="s">
        <v>2055</v>
      </c>
      <c r="D85" s="131" t="s">
        <v>2056</v>
      </c>
      <c r="E85" s="131" t="s">
        <v>2057</v>
      </c>
      <c r="F85" s="131" t="s">
        <v>2058</v>
      </c>
      <c r="G85" s="131" t="s">
        <v>2059</v>
      </c>
      <c r="H85" s="131" t="s">
        <v>2060</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2038</v>
      </c>
      <c r="B86" s="128" t="s">
        <v>2061</v>
      </c>
      <c r="C86" s="129" t="s">
        <v>2062</v>
      </c>
      <c r="D86" s="131" t="s">
        <v>2063</v>
      </c>
      <c r="E86" s="131" t="s">
        <v>2064</v>
      </c>
      <c r="F86" s="131" t="s">
        <v>2065</v>
      </c>
      <c r="G86" s="131" t="s">
        <v>2066</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2067</v>
      </c>
      <c r="B87" s="127"/>
      <c r="C87" s="126" t="s">
        <v>2068</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2067</v>
      </c>
      <c r="B88" s="128" t="s">
        <v>2069</v>
      </c>
      <c r="C88" s="129" t="s">
        <v>2070</v>
      </c>
      <c r="D88" s="131" t="s">
        <v>2071</v>
      </c>
      <c r="E88" s="131" t="s">
        <v>2072</v>
      </c>
      <c r="F88" s="131" t="s">
        <v>2073</v>
      </c>
      <c r="G88" s="131" t="s">
        <v>2074</v>
      </c>
      <c r="H88" s="131" t="s">
        <v>2075</v>
      </c>
      <c r="I88" s="133">
        <f>IF(COUNTIF(J88:AW88,"&lt;&gt;")=0,"",SUMPRODUCT(((Recommendations[ImplStatus]="Implemented")+(Recommendations[ImplStatus]="Compensated"))*ISNUMBER(MATCH(Recommendations[Id],J88:AW88,0)))/COUNTIF(J88:AW88,"&lt;&gt;"))</f>
        <v>0</v>
      </c>
      <c r="J88" s="135" t="s">
        <v>41</v>
      </c>
      <c r="K88" s="135" t="s">
        <v>46</v>
      </c>
      <c r="L88" s="135" t="s">
        <v>87</v>
      </c>
      <c r="M88" s="135" t="s">
        <v>92</v>
      </c>
      <c r="N88" s="135" t="s">
        <v>97</v>
      </c>
      <c r="O88" s="135" t="s">
        <v>102</v>
      </c>
      <c r="P88" s="135" t="s">
        <v>123</v>
      </c>
      <c r="Q88" s="135" t="s">
        <v>134</v>
      </c>
      <c r="R88" s="135" t="s">
        <v>164</v>
      </c>
      <c r="S88" s="135" t="s">
        <v>209</v>
      </c>
      <c r="T88" s="135" t="s">
        <v>214</v>
      </c>
      <c r="U88" s="135" t="s">
        <v>219</v>
      </c>
      <c r="V88" s="135" t="s">
        <v>232</v>
      </c>
      <c r="W88" s="135" t="s">
        <v>276</v>
      </c>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2067</v>
      </c>
      <c r="B89" s="128" t="s">
        <v>2076</v>
      </c>
      <c r="C89" s="129" t="s">
        <v>2077</v>
      </c>
      <c r="D89" s="131" t="s">
        <v>2078</v>
      </c>
      <c r="E89" s="131" t="s">
        <v>2079</v>
      </c>
      <c r="F89" s="131" t="s">
        <v>2080</v>
      </c>
      <c r="G89" s="131" t="s">
        <v>1604</v>
      </c>
      <c r="H89" s="131" t="s">
        <v>2081</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2067</v>
      </c>
      <c r="B90" s="128" t="s">
        <v>2082</v>
      </c>
      <c r="C90" s="129" t="s">
        <v>2083</v>
      </c>
      <c r="D90" s="131" t="s">
        <v>2084</v>
      </c>
      <c r="E90" s="131" t="s">
        <v>2085</v>
      </c>
      <c r="F90" s="131" t="s">
        <v>2086</v>
      </c>
      <c r="G90" s="131" t="s">
        <v>2074</v>
      </c>
      <c r="H90" s="131" t="s">
        <v>2087</v>
      </c>
      <c r="I90" s="133">
        <f>IF(COUNTIF(J90:AW90,"&lt;&gt;")=0,"",SUMPRODUCT(((Recommendations[ImplStatus]="Implemented")+(Recommendations[ImplStatus]="Compensated"))*ISNUMBER(MATCH(Recommendations[Id],J90:AW90,0)))/COUNTIF(J90:AW90,"&lt;&gt;"))</f>
        <v>0</v>
      </c>
      <c r="J90" s="135" t="s">
        <v>25</v>
      </c>
      <c r="K90" s="135" t="s">
        <v>30</v>
      </c>
      <c r="L90" s="135" t="s">
        <v>78</v>
      </c>
      <c r="M90" s="135" t="s">
        <v>82</v>
      </c>
      <c r="N90" s="135" t="s">
        <v>92</v>
      </c>
      <c r="O90" s="135" t="s">
        <v>128</v>
      </c>
      <c r="P90" s="135" t="s">
        <v>197</v>
      </c>
      <c r="Q90" s="135" t="s">
        <v>201</v>
      </c>
      <c r="R90" s="135" t="s">
        <v>214</v>
      </c>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2067</v>
      </c>
      <c r="B91" s="128" t="s">
        <v>2088</v>
      </c>
      <c r="C91" s="129" t="s">
        <v>2089</v>
      </c>
      <c r="D91" s="131" t="s">
        <v>2090</v>
      </c>
      <c r="E91" s="131" t="s">
        <v>2091</v>
      </c>
      <c r="F91" s="131" t="s">
        <v>2092</v>
      </c>
      <c r="G91" s="131" t="s">
        <v>1604</v>
      </c>
      <c r="H91" s="131" t="s">
        <v>2093</v>
      </c>
      <c r="I91" s="133">
        <f>IF(COUNTIF(J91:AW91,"&lt;&gt;")=0,"",SUMPRODUCT(((Recommendations[ImplStatus]="Implemented")+(Recommendations[ImplStatus]="Compensated"))*ISNUMBER(MATCH(Recommendations[Id],J91:AW91,0)))/COUNTIF(J91:AW91,"&lt;&gt;"))</f>
        <v>0</v>
      </c>
      <c r="J91" s="135" t="s">
        <v>73</v>
      </c>
      <c r="K91" s="135" t="s">
        <v>139</v>
      </c>
      <c r="L91" s="135" t="s">
        <v>192</v>
      </c>
      <c r="M91" s="135" t="s">
        <v>307</v>
      </c>
      <c r="N91" s="135" t="s">
        <v>336</v>
      </c>
      <c r="O91" s="135" t="s">
        <v>346</v>
      </c>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2067</v>
      </c>
      <c r="B92" s="128" t="s">
        <v>2094</v>
      </c>
      <c r="C92" s="129" t="s">
        <v>2095</v>
      </c>
      <c r="D92" s="131" t="s">
        <v>2096</v>
      </c>
      <c r="E92" s="131" t="s">
        <v>2097</v>
      </c>
      <c r="F92" s="131" t="s">
        <v>2098</v>
      </c>
      <c r="G92" s="131" t="s">
        <v>1604</v>
      </c>
      <c r="H92" s="131" t="s">
        <v>2099</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2067</v>
      </c>
      <c r="B93" s="128" t="s">
        <v>2100</v>
      </c>
      <c r="C93" s="129" t="s">
        <v>2101</v>
      </c>
      <c r="D93" s="131" t="s">
        <v>2102</v>
      </c>
      <c r="E93" s="131" t="s">
        <v>2103</v>
      </c>
      <c r="F93" s="131" t="s">
        <v>2104</v>
      </c>
      <c r="G93" s="131" t="s">
        <v>2105</v>
      </c>
      <c r="H93" s="131" t="s">
        <v>2106</v>
      </c>
      <c r="I93" s="133" t="str">
        <f>IF(COUNTIF(J93:AW93,"&lt;&gt;")=0,"",SUMPRODUCT(((Recommendations[ImplStatus]="Implemented")+(Recommendations[ImplStatus]="Compensated"))*ISNUMBER(MATCH(Recommendations[Id],J93:AW93,0)))/COUNTIF(J93:AW93,"&lt;&gt;"))</f>
        <v/>
      </c>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2067</v>
      </c>
      <c r="B94" s="128" t="s">
        <v>2107</v>
      </c>
      <c r="C94" s="129" t="s">
        <v>2108</v>
      </c>
      <c r="D94" s="131" t="s">
        <v>2109</v>
      </c>
      <c r="E94" s="131" t="s">
        <v>2110</v>
      </c>
      <c r="F94" s="131" t="s">
        <v>2111</v>
      </c>
      <c r="G94" s="131" t="s">
        <v>2112</v>
      </c>
      <c r="H94" s="131" t="s">
        <v>2113</v>
      </c>
      <c r="I94" s="133">
        <f>IF(COUNTIF(J94:AW94,"&lt;&gt;")=0,"",SUMPRODUCT(((Recommendations[ImplStatus]="Implemented")+(Recommendations[ImplStatus]="Compensated"))*ISNUMBER(MATCH(Recommendations[Id],J94:AW94,0)))/COUNTIF(J94:AW94,"&lt;&gt;"))</f>
        <v>0</v>
      </c>
      <c r="J94" s="135" t="s">
        <v>73</v>
      </c>
      <c r="K94" s="135" t="s">
        <v>336</v>
      </c>
      <c r="L94" s="135" t="s">
        <v>346</v>
      </c>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2067</v>
      </c>
      <c r="B95" s="128" t="s">
        <v>2114</v>
      </c>
      <c r="C95" s="129" t="s">
        <v>2115</v>
      </c>
      <c r="D95" s="131" t="s">
        <v>2116</v>
      </c>
      <c r="E95" s="131" t="s">
        <v>2117</v>
      </c>
      <c r="F95" s="131" t="s">
        <v>2118</v>
      </c>
      <c r="G95" s="131" t="s">
        <v>2119</v>
      </c>
      <c r="H95" s="131" t="s">
        <v>2120</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2067</v>
      </c>
      <c r="B96" s="128" t="s">
        <v>2121</v>
      </c>
      <c r="C96" s="129" t="s">
        <v>2122</v>
      </c>
      <c r="D96" s="131" t="s">
        <v>2123</v>
      </c>
      <c r="E96" s="131" t="s">
        <v>2124</v>
      </c>
      <c r="F96" s="131" t="s">
        <v>2125</v>
      </c>
      <c r="G96" s="131" t="s">
        <v>2126</v>
      </c>
      <c r="H96" s="131" t="s">
        <v>2127</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2067</v>
      </c>
      <c r="B97" s="128" t="s">
        <v>2128</v>
      </c>
      <c r="C97" s="129" t="s">
        <v>2129</v>
      </c>
      <c r="D97" s="131" t="s">
        <v>2130</v>
      </c>
      <c r="E97" s="131" t="s">
        <v>2131</v>
      </c>
      <c r="F97" s="131" t="s">
        <v>2132</v>
      </c>
      <c r="G97" s="131" t="s">
        <v>2133</v>
      </c>
      <c r="H97" s="131" t="s">
        <v>2134</v>
      </c>
      <c r="I97" s="133">
        <f>IF(COUNTIF(J97:AW97,"&lt;&gt;")=0,"",SUMPRODUCT(((Recommendations[ImplStatus]="Implemented")+(Recommendations[ImplStatus]="Compensated"))*ISNUMBER(MATCH(Recommendations[Id],J97:AW97,0)))/COUNTIF(J97:AW97,"&lt;&gt;"))</f>
        <v>0</v>
      </c>
      <c r="J97" s="135" t="s">
        <v>307</v>
      </c>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2135</v>
      </c>
      <c r="B98" s="127"/>
      <c r="C98" s="126" t="s">
        <v>2136</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2135</v>
      </c>
      <c r="B99" s="128" t="s">
        <v>2137</v>
      </c>
      <c r="C99" s="129" t="s">
        <v>2138</v>
      </c>
      <c r="D99" s="131" t="s">
        <v>2139</v>
      </c>
      <c r="E99" s="131" t="s">
        <v>2140</v>
      </c>
      <c r="F99" s="131" t="s">
        <v>2141</v>
      </c>
      <c r="G99" s="131" t="s">
        <v>2142</v>
      </c>
      <c r="H99" s="131" t="s">
        <v>2143</v>
      </c>
      <c r="I99" s="133">
        <f>IF(COUNTIF(J99:AW99,"&lt;&gt;")=0,"",SUMPRODUCT(((Recommendations[ImplStatus]="Implemented")+(Recommendations[ImplStatus]="Compensated"))*ISNUMBER(MATCH(Recommendations[Id],J99:AW99,0)))/COUNTIF(J99:AW99,"&lt;&gt;"))</f>
        <v>0</v>
      </c>
      <c r="J99" s="135" t="s">
        <v>316</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2135</v>
      </c>
      <c r="B100" s="128" t="s">
        <v>2144</v>
      </c>
      <c r="C100" s="129" t="s">
        <v>2145</v>
      </c>
      <c r="D100" s="131" t="s">
        <v>2146</v>
      </c>
      <c r="E100" s="131" t="s">
        <v>2147</v>
      </c>
      <c r="F100" s="131" t="s">
        <v>2148</v>
      </c>
      <c r="G100" s="131" t="s">
        <v>2149</v>
      </c>
      <c r="H100" s="131" t="s">
        <v>2150</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2135</v>
      </c>
      <c r="B101" s="128" t="s">
        <v>2151</v>
      </c>
      <c r="C101" s="129" t="s">
        <v>2152</v>
      </c>
      <c r="D101" s="131" t="s">
        <v>2153</v>
      </c>
      <c r="E101" s="131" t="s">
        <v>2154</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2135</v>
      </c>
      <c r="B102" s="128" t="s">
        <v>2155</v>
      </c>
      <c r="C102" s="129" t="s">
        <v>2156</v>
      </c>
      <c r="D102" s="131" t="s">
        <v>2157</v>
      </c>
      <c r="E102" s="131" t="s">
        <v>2158</v>
      </c>
      <c r="F102" s="131" t="s">
        <v>2159</v>
      </c>
      <c r="G102" s="131" t="s">
        <v>2160</v>
      </c>
      <c r="H102" s="131" t="s">
        <v>2161</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2135</v>
      </c>
      <c r="B103" s="128" t="s">
        <v>2162</v>
      </c>
      <c r="C103" s="129" t="s">
        <v>2163</v>
      </c>
      <c r="D103" s="131" t="s">
        <v>2164</v>
      </c>
      <c r="E103" s="131" t="s">
        <v>2165</v>
      </c>
      <c r="F103" s="131" t="s">
        <v>2166</v>
      </c>
      <c r="G103" s="131" t="s">
        <v>2167</v>
      </c>
      <c r="H103" s="131" t="s">
        <v>2168</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2169</v>
      </c>
      <c r="B104" s="127"/>
      <c r="C104" s="126" t="s">
        <v>2170</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2169</v>
      </c>
      <c r="B105" s="128" t="s">
        <v>2171</v>
      </c>
      <c r="C105" s="129" t="s">
        <v>2172</v>
      </c>
      <c r="D105" s="131" t="s">
        <v>2173</v>
      </c>
      <c r="E105" s="131" t="s">
        <v>2174</v>
      </c>
      <c r="F105" s="131" t="s">
        <v>2175</v>
      </c>
      <c r="G105" s="131" t="s">
        <v>2176</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2169</v>
      </c>
      <c r="B106" s="128" t="s">
        <v>2177</v>
      </c>
      <c r="C106" s="129" t="s">
        <v>2178</v>
      </c>
      <c r="D106" s="131" t="s">
        <v>2179</v>
      </c>
      <c r="E106" s="131" t="s">
        <v>2180</v>
      </c>
      <c r="F106" s="131" t="s">
        <v>2181</v>
      </c>
      <c r="G106" s="131" t="s">
        <v>2182</v>
      </c>
      <c r="H106" s="131" t="s">
        <v>2183</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2169</v>
      </c>
      <c r="B107" s="128" t="s">
        <v>2184</v>
      </c>
      <c r="C107" s="129" t="s">
        <v>2185</v>
      </c>
      <c r="D107" s="131" t="s">
        <v>2186</v>
      </c>
      <c r="E107" s="131" t="s">
        <v>2187</v>
      </c>
      <c r="F107" s="131" t="s">
        <v>2188</v>
      </c>
      <c r="G107" s="131" t="s">
        <v>2189</v>
      </c>
      <c r="H107" s="131" t="s">
        <v>2190</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2191</v>
      </c>
      <c r="B108" s="127"/>
      <c r="C108" s="126" t="s">
        <v>2192</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2191</v>
      </c>
      <c r="B109" s="128" t="s">
        <v>2193</v>
      </c>
      <c r="C109" s="129" t="s">
        <v>2194</v>
      </c>
      <c r="D109" s="131" t="s">
        <v>2195</v>
      </c>
      <c r="E109" s="131" t="s">
        <v>2196</v>
      </c>
      <c r="F109" s="131" t="s">
        <v>2197</v>
      </c>
      <c r="G109" s="131" t="s">
        <v>2198</v>
      </c>
      <c r="H109" s="131" t="s">
        <v>2199</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2191</v>
      </c>
      <c r="B110" s="128" t="s">
        <v>2200</v>
      </c>
      <c r="C110" s="129" t="s">
        <v>2201</v>
      </c>
      <c r="D110" s="131" t="s">
        <v>2202</v>
      </c>
      <c r="E110" s="131" t="s">
        <v>2203</v>
      </c>
      <c r="F110" s="131" t="s">
        <v>2204</v>
      </c>
      <c r="G110" s="131" t="s">
        <v>2205</v>
      </c>
      <c r="H110" s="131" t="s">
        <v>2206</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2191</v>
      </c>
      <c r="B111" s="128" t="s">
        <v>2207</v>
      </c>
      <c r="C111" s="129" t="s">
        <v>2208</v>
      </c>
      <c r="D111" s="131" t="s">
        <v>2209</v>
      </c>
      <c r="E111" s="131" t="s">
        <v>2210</v>
      </c>
      <c r="F111" s="131" t="s">
        <v>2211</v>
      </c>
      <c r="G111" s="131" t="s">
        <v>2212</v>
      </c>
      <c r="H111" s="131" t="s">
        <v>2213</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2214</v>
      </c>
      <c r="B112" s="127"/>
      <c r="C112" s="126" t="s">
        <v>2215</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2214</v>
      </c>
      <c r="B113" s="128" t="s">
        <v>2216</v>
      </c>
      <c r="C113" s="129" t="s">
        <v>2217</v>
      </c>
      <c r="D113" s="131" t="s">
        <v>2218</v>
      </c>
      <c r="E113" s="131" t="s">
        <v>2219</v>
      </c>
      <c r="F113" s="131" t="s">
        <v>2220</v>
      </c>
      <c r="G113" s="131" t="s">
        <v>2221</v>
      </c>
      <c r="H113" s="131" t="s">
        <v>2222</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2214</v>
      </c>
      <c r="B114" s="128" t="s">
        <v>2223</v>
      </c>
      <c r="C114" s="129" t="s">
        <v>2224</v>
      </c>
      <c r="D114" s="131" t="s">
        <v>2225</v>
      </c>
      <c r="E114" s="131" t="s">
        <v>2226</v>
      </c>
      <c r="F114" s="131" t="s">
        <v>2227</v>
      </c>
      <c r="G114" s="131" t="s">
        <v>2221</v>
      </c>
      <c r="H114" s="131" t="s">
        <v>2228</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2214</v>
      </c>
      <c r="B115" s="136" t="s">
        <v>2229</v>
      </c>
      <c r="C115" s="137" t="s">
        <v>2230</v>
      </c>
      <c r="D115" s="138" t="s">
        <v>2231</v>
      </c>
      <c r="E115" s="138" t="s">
        <v>2232</v>
      </c>
      <c r="F115" s="138" t="s">
        <v>2233</v>
      </c>
      <c r="G115" s="138" t="s">
        <v>2234</v>
      </c>
      <c r="H115" s="138" t="s">
        <v>2235</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351</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IFERROR(INDEX('Recommendations'!$H$2:$H$69, MATCH(J2,'Recommendations'!$A$2:$A$69,0))="Implemented", FALSE))</xm:f>
            <x14:dxf>
              <font>
                <color rgb="FF000000"/>
              </font>
              <fill>
                <patternFill>
                  <bgColor rgb="FF3C7D22"/>
                </patternFill>
              </fill>
            </x14:dxf>
          </x14:cfRule>
          <x14:cfRule type="expression" priority="2" id="{00000000-000E-0000-0600-000002000000}">
            <xm:f>AND(J2&lt;&gt;"", IFERROR(INDEX('Recommendations'!$H$2:$H$69, MATCH(J2,'Recommendations'!$A$2:$A$69,0))="Compensated", FALSE))</xm:f>
            <x14:dxf>
              <font>
                <color rgb="FF000000"/>
              </font>
              <fill>
                <patternFill>
                  <bgColor rgb="FFC6E0B4"/>
                </patternFill>
              </fill>
            </x14:dxf>
          </x14:cfRule>
          <x14:cfRule type="expression" priority="3" id="{00000000-000E-0000-0600-000003000000}">
            <xm:f>AND(J2&lt;&gt;"", IFERROR(INDEX('Recommendations'!$H$2:$H$69, MATCH(J2,'Recommendations'!$A$2:$A$69,0))="Testing", FALSE))</xm:f>
            <x14:dxf>
              <font>
                <color rgb="FF000000"/>
              </font>
              <fill>
                <patternFill>
                  <bgColor rgb="FFFFC000"/>
                </patternFill>
              </fill>
            </x14:dxf>
          </x14:cfRule>
          <x14:cfRule type="expression" priority="4" id="{00000000-000E-0000-0600-000004000000}">
            <xm:f>AND(J2&lt;&gt;"", IFERROR(INDEX('Recommendations'!$H$2:$H$69, MATCH(J2,'Recommendations'!$A$2:$A$69,0))="Failed", FALSE))</xm:f>
            <x14:dxf>
              <font>
                <color rgb="FF000000"/>
              </font>
              <fill>
                <patternFill>
                  <bgColor rgb="FFD82891"/>
                </patternFill>
              </fill>
            </x14:dxf>
          </x14:cfRule>
          <x14:cfRule type="expression" priority="5" id="{00000000-000E-0000-0600-000005000000}">
            <xm:f>AND(J2&lt;&gt;"", IFERROR(INDEX('Recommendations'!$H$2:$H$69, MATCH(J2,'Recommendations'!$A$2:$A$69,0))="Risk Accepted", FALSE))</xm:f>
            <x14:dxf>
              <font>
                <color rgb="FF000000"/>
              </font>
              <fill>
                <patternFill>
                  <bgColor rgb="FFD9D9D9"/>
                </patternFill>
              </fill>
            </x14:dxf>
          </x14:cfRule>
          <x14:cfRule type="expression" priority="6" id="{00000000-000E-0000-0600-000006000000}">
            <xm:f>AND(J2&lt;&gt;"", IFERROR(INDEX('Recommendations'!$H$2:$H$69, MATCH(J2,'Recommendations'!$A$2:$A$69,0))="N/A",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2236</v>
      </c>
      <c r="B1" s="187" t="s">
        <v>2237</v>
      </c>
      <c r="C1" s="187" t="s">
        <v>0</v>
      </c>
      <c r="D1" s="187" t="s">
        <v>2238</v>
      </c>
      <c r="E1" s="187" t="s">
        <v>2239</v>
      </c>
      <c r="F1" s="187" t="s">
        <v>2240</v>
      </c>
      <c r="G1" s="187" t="s">
        <v>605</v>
      </c>
      <c r="H1" s="187" t="s">
        <v>606</v>
      </c>
      <c r="I1" s="187" t="s">
        <v>607</v>
      </c>
      <c r="J1" s="187" t="s">
        <v>608</v>
      </c>
      <c r="K1" s="187" t="s">
        <v>609</v>
      </c>
      <c r="L1" s="187" t="s">
        <v>610</v>
      </c>
      <c r="M1" s="187" t="s">
        <v>611</v>
      </c>
      <c r="N1" s="187" t="s">
        <v>612</v>
      </c>
      <c r="O1" s="187" t="s">
        <v>613</v>
      </c>
      <c r="P1" s="187" t="s">
        <v>614</v>
      </c>
      <c r="Q1" s="187" t="s">
        <v>615</v>
      </c>
      <c r="R1" s="187" t="s">
        <v>616</v>
      </c>
      <c r="S1" s="187" t="s">
        <v>617</v>
      </c>
      <c r="T1" s="187" t="s">
        <v>618</v>
      </c>
      <c r="U1" s="187" t="s">
        <v>619</v>
      </c>
      <c r="V1" s="187" t="s">
        <v>620</v>
      </c>
      <c r="W1" s="187" t="s">
        <v>621</v>
      </c>
      <c r="X1" s="187" t="s">
        <v>622</v>
      </c>
      <c r="Y1" s="187" t="s">
        <v>623</v>
      </c>
      <c r="Z1" s="187" t="s">
        <v>624</v>
      </c>
      <c r="AA1" s="187" t="s">
        <v>625</v>
      </c>
      <c r="AB1" s="187" t="s">
        <v>626</v>
      </c>
      <c r="AC1" s="187" t="s">
        <v>627</v>
      </c>
      <c r="AD1" s="187" t="s">
        <v>628</v>
      </c>
      <c r="AE1" s="187" t="s">
        <v>629</v>
      </c>
      <c r="AF1" s="187" t="s">
        <v>630</v>
      </c>
      <c r="AG1" s="187" t="s">
        <v>631</v>
      </c>
      <c r="AH1" s="187" t="s">
        <v>632</v>
      </c>
      <c r="AI1" s="187" t="s">
        <v>633</v>
      </c>
      <c r="AJ1" s="187" t="s">
        <v>634</v>
      </c>
      <c r="AK1" s="187" t="s">
        <v>635</v>
      </c>
      <c r="AL1" s="187" t="s">
        <v>636</v>
      </c>
      <c r="AM1" s="187" t="s">
        <v>637</v>
      </c>
      <c r="AN1" s="187" t="s">
        <v>638</v>
      </c>
      <c r="AO1" s="187" t="s">
        <v>639</v>
      </c>
      <c r="AP1" s="187" t="s">
        <v>640</v>
      </c>
      <c r="AQ1" s="187" t="s">
        <v>641</v>
      </c>
      <c r="AR1" s="187" t="s">
        <v>642</v>
      </c>
      <c r="AS1" s="187" t="s">
        <v>643</v>
      </c>
      <c r="AT1" s="187" t="s">
        <v>644</v>
      </c>
      <c r="AU1" s="188" t="s">
        <v>645</v>
      </c>
    </row>
    <row r="2" spans="1:47" ht="60" customHeight="1" outlineLevel="1" x14ac:dyDescent="0.35">
      <c r="A2" s="178" t="s">
        <v>2241</v>
      </c>
      <c r="B2" s="152" t="s">
        <v>21</v>
      </c>
      <c r="C2" s="150" t="s">
        <v>2242</v>
      </c>
      <c r="D2" s="156" t="s">
        <v>2243</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2241</v>
      </c>
      <c r="B3" s="153" t="s">
        <v>2244</v>
      </c>
      <c r="C3" s="151" t="s">
        <v>2245</v>
      </c>
      <c r="D3" s="157" t="s">
        <v>2246</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2241</v>
      </c>
      <c r="B4" s="154" t="s">
        <v>2244</v>
      </c>
      <c r="C4" s="155" t="s">
        <v>2247</v>
      </c>
      <c r="D4" s="158" t="s">
        <v>2248</v>
      </c>
      <c r="E4" s="161" t="s">
        <v>2249</v>
      </c>
      <c r="F4" s="164" t="s">
        <v>2250</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2241</v>
      </c>
      <c r="B5" s="154" t="s">
        <v>2244</v>
      </c>
      <c r="C5" s="155" t="s">
        <v>2251</v>
      </c>
      <c r="D5" s="158" t="s">
        <v>2252</v>
      </c>
      <c r="E5" s="161" t="s">
        <v>2253</v>
      </c>
      <c r="F5" s="164" t="s">
        <v>2254</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2241</v>
      </c>
      <c r="B6" s="154" t="s">
        <v>2244</v>
      </c>
      <c r="C6" s="155" t="s">
        <v>2255</v>
      </c>
      <c r="D6" s="158" t="s">
        <v>2256</v>
      </c>
      <c r="E6" s="161" t="s">
        <v>2257</v>
      </c>
      <c r="F6" s="164" t="s">
        <v>2254</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2241</v>
      </c>
      <c r="B7" s="154" t="s">
        <v>2244</v>
      </c>
      <c r="C7" s="155" t="s">
        <v>2258</v>
      </c>
      <c r="D7" s="158" t="s">
        <v>2259</v>
      </c>
      <c r="E7" s="161" t="s">
        <v>2260</v>
      </c>
      <c r="F7" s="164" t="s">
        <v>2254</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2241</v>
      </c>
      <c r="B8" s="154" t="s">
        <v>2244</v>
      </c>
      <c r="C8" s="155" t="s">
        <v>2261</v>
      </c>
      <c r="D8" s="158" t="s">
        <v>2262</v>
      </c>
      <c r="E8" s="161" t="s">
        <v>2263</v>
      </c>
      <c r="F8" s="164" t="s">
        <v>2264</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2241</v>
      </c>
      <c r="B9" s="153" t="s">
        <v>2265</v>
      </c>
      <c r="C9" s="151" t="s">
        <v>2266</v>
      </c>
      <c r="D9" s="157" t="s">
        <v>2267</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2241</v>
      </c>
      <c r="B10" s="154" t="s">
        <v>2265</v>
      </c>
      <c r="C10" s="155" t="s">
        <v>2268</v>
      </c>
      <c r="D10" s="158" t="s">
        <v>2269</v>
      </c>
      <c r="E10" s="161" t="s">
        <v>2270</v>
      </c>
      <c r="F10" s="164" t="s">
        <v>2250</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2241</v>
      </c>
      <c r="B11" s="154" t="s">
        <v>2265</v>
      </c>
      <c r="C11" s="155" t="s">
        <v>2271</v>
      </c>
      <c r="D11" s="158" t="s">
        <v>2272</v>
      </c>
      <c r="E11" s="161" t="s">
        <v>2273</v>
      </c>
      <c r="F11" s="164" t="s">
        <v>2250</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2241</v>
      </c>
      <c r="B12" s="154" t="s">
        <v>2265</v>
      </c>
      <c r="C12" s="155" t="s">
        <v>2274</v>
      </c>
      <c r="D12" s="158" t="s">
        <v>2275</v>
      </c>
      <c r="E12" s="161" t="s">
        <v>2276</v>
      </c>
      <c r="F12" s="164" t="s">
        <v>2250</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2241</v>
      </c>
      <c r="B13" s="153" t="s">
        <v>2277</v>
      </c>
      <c r="C13" s="151" t="s">
        <v>2278</v>
      </c>
      <c r="D13" s="157" t="s">
        <v>2279</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2241</v>
      </c>
      <c r="B14" s="154" t="s">
        <v>2277</v>
      </c>
      <c r="C14" s="155" t="s">
        <v>2280</v>
      </c>
      <c r="D14" s="158" t="s">
        <v>2281</v>
      </c>
      <c r="E14" s="161" t="s">
        <v>2282</v>
      </c>
      <c r="F14" s="164" t="s">
        <v>2250</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2241</v>
      </c>
      <c r="B15" s="154" t="s">
        <v>2277</v>
      </c>
      <c r="C15" s="155" t="s">
        <v>2283</v>
      </c>
      <c r="D15" s="158" t="s">
        <v>2284</v>
      </c>
      <c r="E15" s="161" t="s">
        <v>2285</v>
      </c>
      <c r="F15" s="164" t="s">
        <v>2250</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2241</v>
      </c>
      <c r="B16" s="153" t="s">
        <v>2286</v>
      </c>
      <c r="C16" s="151" t="s">
        <v>2287</v>
      </c>
      <c r="D16" s="157" t="s">
        <v>2288</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2241</v>
      </c>
      <c r="B17" s="154" t="s">
        <v>2286</v>
      </c>
      <c r="C17" s="155" t="s">
        <v>2289</v>
      </c>
      <c r="D17" s="158" t="s">
        <v>2290</v>
      </c>
      <c r="E17" s="161" t="s">
        <v>2291</v>
      </c>
      <c r="F17" s="164" t="s">
        <v>2250</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2241</v>
      </c>
      <c r="B18" s="154" t="s">
        <v>2286</v>
      </c>
      <c r="C18" s="155" t="s">
        <v>2292</v>
      </c>
      <c r="D18" s="158" t="s">
        <v>2293</v>
      </c>
      <c r="E18" s="161" t="s">
        <v>2294</v>
      </c>
      <c r="F18" s="164" t="s">
        <v>2254</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2241</v>
      </c>
      <c r="B19" s="154" t="s">
        <v>2286</v>
      </c>
      <c r="C19" s="155" t="s">
        <v>2295</v>
      </c>
      <c r="D19" s="158" t="s">
        <v>2296</v>
      </c>
      <c r="E19" s="161" t="s">
        <v>2297</v>
      </c>
      <c r="F19" s="164" t="s">
        <v>2250</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2241</v>
      </c>
      <c r="B20" s="154" t="s">
        <v>2286</v>
      </c>
      <c r="C20" s="155" t="s">
        <v>2298</v>
      </c>
      <c r="D20" s="158" t="s">
        <v>2299</v>
      </c>
      <c r="E20" s="161" t="s">
        <v>2300</v>
      </c>
      <c r="F20" s="164" t="s">
        <v>2250</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2241</v>
      </c>
      <c r="B21" s="154" t="s">
        <v>2286</v>
      </c>
      <c r="C21" s="155" t="s">
        <v>2301</v>
      </c>
      <c r="D21" s="158" t="s">
        <v>2302</v>
      </c>
      <c r="E21" s="161" t="s">
        <v>2303</v>
      </c>
      <c r="F21" s="164" t="s">
        <v>2254</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2241</v>
      </c>
      <c r="B22" s="154" t="s">
        <v>2286</v>
      </c>
      <c r="C22" s="155" t="s">
        <v>2304</v>
      </c>
      <c r="D22" s="158" t="s">
        <v>2305</v>
      </c>
      <c r="E22" s="161" t="s">
        <v>2306</v>
      </c>
      <c r="F22" s="164" t="s">
        <v>2250</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2241</v>
      </c>
      <c r="B23" s="154" t="s">
        <v>2286</v>
      </c>
      <c r="C23" s="155" t="s">
        <v>2307</v>
      </c>
      <c r="D23" s="158" t="s">
        <v>2308</v>
      </c>
      <c r="E23" s="161" t="s">
        <v>2309</v>
      </c>
      <c r="F23" s="164" t="s">
        <v>2250</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2241</v>
      </c>
      <c r="B24" s="153" t="s">
        <v>2310</v>
      </c>
      <c r="C24" s="151" t="s">
        <v>2311</v>
      </c>
      <c r="D24" s="157" t="s">
        <v>2312</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2241</v>
      </c>
      <c r="B25" s="154" t="s">
        <v>2310</v>
      </c>
      <c r="C25" s="155" t="s">
        <v>2313</v>
      </c>
      <c r="D25" s="158" t="s">
        <v>2314</v>
      </c>
      <c r="E25" s="161" t="s">
        <v>2315</v>
      </c>
      <c r="F25" s="164" t="s">
        <v>2250</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2241</v>
      </c>
      <c r="B26" s="154" t="s">
        <v>2310</v>
      </c>
      <c r="C26" s="155" t="s">
        <v>2316</v>
      </c>
      <c r="D26" s="158" t="s">
        <v>2317</v>
      </c>
      <c r="E26" s="161" t="s">
        <v>2318</v>
      </c>
      <c r="F26" s="164" t="s">
        <v>2250</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2241</v>
      </c>
      <c r="B27" s="154" t="s">
        <v>2310</v>
      </c>
      <c r="C27" s="155" t="s">
        <v>2319</v>
      </c>
      <c r="D27" s="158" t="s">
        <v>2320</v>
      </c>
      <c r="E27" s="161" t="s">
        <v>2321</v>
      </c>
      <c r="F27" s="164" t="s">
        <v>2254</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2241</v>
      </c>
      <c r="B28" s="154" t="s">
        <v>2310</v>
      </c>
      <c r="C28" s="155" t="s">
        <v>2322</v>
      </c>
      <c r="D28" s="158" t="s">
        <v>2323</v>
      </c>
      <c r="E28" s="161" t="s">
        <v>2324</v>
      </c>
      <c r="F28" s="164" t="s">
        <v>2250</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2241</v>
      </c>
      <c r="B29" s="153" t="s">
        <v>2325</v>
      </c>
      <c r="C29" s="151" t="s">
        <v>2326</v>
      </c>
      <c r="D29" s="157" t="s">
        <v>2327</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2241</v>
      </c>
      <c r="B30" s="154" t="s">
        <v>2325</v>
      </c>
      <c r="C30" s="155" t="s">
        <v>2328</v>
      </c>
      <c r="D30" s="158" t="s">
        <v>2329</v>
      </c>
      <c r="E30" s="161" t="s">
        <v>2330</v>
      </c>
      <c r="F30" s="164" t="s">
        <v>2264</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2241</v>
      </c>
      <c r="B31" s="154" t="s">
        <v>2325</v>
      </c>
      <c r="C31" s="155" t="s">
        <v>2331</v>
      </c>
      <c r="D31" s="158" t="s">
        <v>2332</v>
      </c>
      <c r="E31" s="161" t="s">
        <v>2333</v>
      </c>
      <c r="F31" s="164" t="s">
        <v>2264</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2241</v>
      </c>
      <c r="B32" s="154" t="s">
        <v>2325</v>
      </c>
      <c r="C32" s="155" t="s">
        <v>2334</v>
      </c>
      <c r="D32" s="158" t="s">
        <v>2335</v>
      </c>
      <c r="E32" s="161" t="s">
        <v>2336</v>
      </c>
      <c r="F32" s="164" t="s">
        <v>2264</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2241</v>
      </c>
      <c r="B33" s="154" t="s">
        <v>2325</v>
      </c>
      <c r="C33" s="155" t="s">
        <v>2337</v>
      </c>
      <c r="D33" s="158" t="s">
        <v>2338</v>
      </c>
      <c r="E33" s="161" t="s">
        <v>2339</v>
      </c>
      <c r="F33" s="164" t="s">
        <v>2264</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2241</v>
      </c>
      <c r="B34" s="154" t="s">
        <v>2325</v>
      </c>
      <c r="C34" s="155" t="s">
        <v>2340</v>
      </c>
      <c r="D34" s="158" t="s">
        <v>2341</v>
      </c>
      <c r="E34" s="161" t="s">
        <v>2342</v>
      </c>
      <c r="F34" s="164" t="s">
        <v>2264</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2241</v>
      </c>
      <c r="B35" s="154" t="s">
        <v>2325</v>
      </c>
      <c r="C35" s="155" t="s">
        <v>2343</v>
      </c>
      <c r="D35" s="158" t="s">
        <v>2344</v>
      </c>
      <c r="E35" s="161" t="s">
        <v>2345</v>
      </c>
      <c r="F35" s="164" t="s">
        <v>2264</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2241</v>
      </c>
      <c r="B36" s="154" t="s">
        <v>2325</v>
      </c>
      <c r="C36" s="155" t="s">
        <v>2346</v>
      </c>
      <c r="D36" s="158" t="s">
        <v>2347</v>
      </c>
      <c r="E36" s="161" t="s">
        <v>2348</v>
      </c>
      <c r="F36" s="164" t="s">
        <v>2264</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2241</v>
      </c>
      <c r="B37" s="154" t="s">
        <v>2325</v>
      </c>
      <c r="C37" s="155" t="s">
        <v>2349</v>
      </c>
      <c r="D37" s="158" t="s">
        <v>2350</v>
      </c>
      <c r="E37" s="161" t="s">
        <v>2351</v>
      </c>
      <c r="F37" s="164" t="s">
        <v>2264</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2241</v>
      </c>
      <c r="B38" s="154" t="s">
        <v>2325</v>
      </c>
      <c r="C38" s="155" t="s">
        <v>2352</v>
      </c>
      <c r="D38" s="158" t="s">
        <v>2353</v>
      </c>
      <c r="E38" s="161" t="s">
        <v>2354</v>
      </c>
      <c r="F38" s="164" t="s">
        <v>2264</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2241</v>
      </c>
      <c r="B39" s="154" t="s">
        <v>2325</v>
      </c>
      <c r="C39" s="155" t="s">
        <v>2355</v>
      </c>
      <c r="D39" s="158" t="s">
        <v>2356</v>
      </c>
      <c r="E39" s="161" t="s">
        <v>2357</v>
      </c>
      <c r="F39" s="164" t="s">
        <v>2264</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2358</v>
      </c>
      <c r="B40" s="152" t="s">
        <v>21</v>
      </c>
      <c r="C40" s="150" t="s">
        <v>2359</v>
      </c>
      <c r="D40" s="156" t="s">
        <v>2360</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2358</v>
      </c>
      <c r="B41" s="153" t="s">
        <v>2361</v>
      </c>
      <c r="C41" s="151" t="s">
        <v>2362</v>
      </c>
      <c r="D41" s="157" t="s">
        <v>2363</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2358</v>
      </c>
      <c r="B42" s="154" t="s">
        <v>2361</v>
      </c>
      <c r="C42" s="155" t="s">
        <v>2364</v>
      </c>
      <c r="D42" s="158" t="s">
        <v>2365</v>
      </c>
      <c r="E42" s="161" t="s">
        <v>2366</v>
      </c>
      <c r="F42" s="164" t="s">
        <v>2250</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2358</v>
      </c>
      <c r="B43" s="154" t="s">
        <v>2361</v>
      </c>
      <c r="C43" s="155" t="s">
        <v>2367</v>
      </c>
      <c r="D43" s="158" t="s">
        <v>2368</v>
      </c>
      <c r="E43" s="161" t="s">
        <v>2369</v>
      </c>
      <c r="F43" s="164" t="s">
        <v>2250</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2358</v>
      </c>
      <c r="B44" s="154" t="s">
        <v>2361</v>
      </c>
      <c r="C44" s="155" t="s">
        <v>2370</v>
      </c>
      <c r="D44" s="158" t="s">
        <v>2371</v>
      </c>
      <c r="E44" s="161" t="s">
        <v>2372</v>
      </c>
      <c r="F44" s="164" t="s">
        <v>2254</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2358</v>
      </c>
      <c r="B45" s="154" t="s">
        <v>2361</v>
      </c>
      <c r="C45" s="155" t="s">
        <v>2373</v>
      </c>
      <c r="D45" s="158" t="s">
        <v>2374</v>
      </c>
      <c r="E45" s="161" t="s">
        <v>2375</v>
      </c>
      <c r="F45" s="164" t="s">
        <v>2264</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2358</v>
      </c>
      <c r="B46" s="154" t="s">
        <v>2361</v>
      </c>
      <c r="C46" s="155" t="s">
        <v>2376</v>
      </c>
      <c r="D46" s="158" t="s">
        <v>2377</v>
      </c>
      <c r="E46" s="161" t="s">
        <v>2378</v>
      </c>
      <c r="F46" s="164" t="s">
        <v>2250</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2358</v>
      </c>
      <c r="B47" s="154" t="s">
        <v>2361</v>
      </c>
      <c r="C47" s="155" t="s">
        <v>2379</v>
      </c>
      <c r="D47" s="158" t="s">
        <v>2380</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2358</v>
      </c>
      <c r="B48" s="154" t="s">
        <v>2361</v>
      </c>
      <c r="C48" s="155" t="s">
        <v>2381</v>
      </c>
      <c r="D48" s="158" t="s">
        <v>2382</v>
      </c>
      <c r="E48" s="161" t="s">
        <v>2383</v>
      </c>
      <c r="F48" s="164" t="s">
        <v>2250</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2358</v>
      </c>
      <c r="B49" s="154" t="s">
        <v>2361</v>
      </c>
      <c r="C49" s="155" t="s">
        <v>2384</v>
      </c>
      <c r="D49" s="158" t="s">
        <v>2385</v>
      </c>
      <c r="E49" s="161" t="s">
        <v>2386</v>
      </c>
      <c r="F49" s="164" t="s">
        <v>2254</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2358</v>
      </c>
      <c r="B50" s="153" t="s">
        <v>2387</v>
      </c>
      <c r="C50" s="151" t="s">
        <v>2388</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2358</v>
      </c>
      <c r="B51" s="154" t="s">
        <v>2387</v>
      </c>
      <c r="C51" s="155" t="s">
        <v>2389</v>
      </c>
      <c r="D51" s="158" t="s">
        <v>2390</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2358</v>
      </c>
      <c r="B52" s="154" t="s">
        <v>2387</v>
      </c>
      <c r="C52" s="155" t="s">
        <v>2391</v>
      </c>
      <c r="D52" s="158" t="s">
        <v>2392</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2358</v>
      </c>
      <c r="B53" s="154" t="s">
        <v>2387</v>
      </c>
      <c r="C53" s="155" t="s">
        <v>2393</v>
      </c>
      <c r="D53" s="158" t="s">
        <v>2394</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2358</v>
      </c>
      <c r="B54" s="154" t="s">
        <v>2387</v>
      </c>
      <c r="C54" s="155" t="s">
        <v>2395</v>
      </c>
      <c r="D54" s="158" t="s">
        <v>2396</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2358</v>
      </c>
      <c r="B55" s="154" t="s">
        <v>2387</v>
      </c>
      <c r="C55" s="155" t="s">
        <v>2397</v>
      </c>
      <c r="D55" s="158" t="s">
        <v>2398</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2358</v>
      </c>
      <c r="B56" s="153" t="s">
        <v>512</v>
      </c>
      <c r="C56" s="151" t="s">
        <v>2399</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2358</v>
      </c>
      <c r="B57" s="154" t="s">
        <v>512</v>
      </c>
      <c r="C57" s="155" t="s">
        <v>2400</v>
      </c>
      <c r="D57" s="158" t="s">
        <v>2401</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2358</v>
      </c>
      <c r="B58" s="154" t="s">
        <v>512</v>
      </c>
      <c r="C58" s="155" t="s">
        <v>2402</v>
      </c>
      <c r="D58" s="158" t="s">
        <v>2403</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2358</v>
      </c>
      <c r="B59" s="154" t="s">
        <v>512</v>
      </c>
      <c r="C59" s="155" t="s">
        <v>2404</v>
      </c>
      <c r="D59" s="158" t="s">
        <v>2405</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2358</v>
      </c>
      <c r="B60" s="154" t="s">
        <v>512</v>
      </c>
      <c r="C60" s="155" t="s">
        <v>2406</v>
      </c>
      <c r="D60" s="158" t="s">
        <v>2407</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2358</v>
      </c>
      <c r="B61" s="153" t="s">
        <v>2408</v>
      </c>
      <c r="C61" s="151" t="s">
        <v>2409</v>
      </c>
      <c r="D61" s="157" t="s">
        <v>2410</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2358</v>
      </c>
      <c r="B62" s="154" t="s">
        <v>2408</v>
      </c>
      <c r="C62" s="155" t="s">
        <v>2411</v>
      </c>
      <c r="D62" s="158" t="s">
        <v>2412</v>
      </c>
      <c r="E62" s="161" t="s">
        <v>2413</v>
      </c>
      <c r="F62" s="164" t="s">
        <v>2250</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2358</v>
      </c>
      <c r="B63" s="154" t="s">
        <v>2408</v>
      </c>
      <c r="C63" s="155" t="s">
        <v>2414</v>
      </c>
      <c r="D63" s="158" t="s">
        <v>2415</v>
      </c>
      <c r="E63" s="161" t="s">
        <v>2416</v>
      </c>
      <c r="F63" s="164" t="s">
        <v>2254</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2358</v>
      </c>
      <c r="B64" s="154" t="s">
        <v>2408</v>
      </c>
      <c r="C64" s="155" t="s">
        <v>2417</v>
      </c>
      <c r="D64" s="158" t="s">
        <v>2418</v>
      </c>
      <c r="E64" s="161" t="s">
        <v>2419</v>
      </c>
      <c r="F64" s="164" t="s">
        <v>2250</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2358</v>
      </c>
      <c r="B65" s="154" t="s">
        <v>2408</v>
      </c>
      <c r="C65" s="155" t="s">
        <v>2420</v>
      </c>
      <c r="D65" s="158" t="s">
        <v>2421</v>
      </c>
      <c r="E65" s="161" t="s">
        <v>2422</v>
      </c>
      <c r="F65" s="164" t="s">
        <v>2250</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2358</v>
      </c>
      <c r="B66" s="153" t="s">
        <v>2016</v>
      </c>
      <c r="C66" s="151" t="s">
        <v>2423</v>
      </c>
      <c r="D66" s="157" t="s">
        <v>2424</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2358</v>
      </c>
      <c r="B67" s="154" t="s">
        <v>2016</v>
      </c>
      <c r="C67" s="155" t="s">
        <v>2425</v>
      </c>
      <c r="D67" s="158" t="s">
        <v>2426</v>
      </c>
      <c r="E67" s="161" t="s">
        <v>2427</v>
      </c>
      <c r="F67" s="164" t="s">
        <v>2250</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2358</v>
      </c>
      <c r="B68" s="154" t="s">
        <v>2016</v>
      </c>
      <c r="C68" s="155" t="s">
        <v>2428</v>
      </c>
      <c r="D68" s="158" t="s">
        <v>2429</v>
      </c>
      <c r="E68" s="161" t="s">
        <v>2430</v>
      </c>
      <c r="F68" s="164" t="s">
        <v>2250</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2358</v>
      </c>
      <c r="B69" s="154" t="s">
        <v>2016</v>
      </c>
      <c r="C69" s="155" t="s">
        <v>2431</v>
      </c>
      <c r="D69" s="158" t="s">
        <v>2432</v>
      </c>
      <c r="E69" s="161" t="s">
        <v>2433</v>
      </c>
      <c r="F69" s="164" t="s">
        <v>2254</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2358</v>
      </c>
      <c r="B70" s="154" t="s">
        <v>2016</v>
      </c>
      <c r="C70" s="155" t="s">
        <v>2434</v>
      </c>
      <c r="D70" s="158" t="s">
        <v>2435</v>
      </c>
      <c r="E70" s="161" t="s">
        <v>2436</v>
      </c>
      <c r="F70" s="164" t="s">
        <v>2250</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2358</v>
      </c>
      <c r="B71" s="154" t="s">
        <v>2016</v>
      </c>
      <c r="C71" s="155" t="s">
        <v>2437</v>
      </c>
      <c r="D71" s="158" t="s">
        <v>2438</v>
      </c>
      <c r="E71" s="161" t="s">
        <v>2439</v>
      </c>
      <c r="F71" s="164" t="s">
        <v>2250</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2358</v>
      </c>
      <c r="B72" s="154" t="s">
        <v>2016</v>
      </c>
      <c r="C72" s="155" t="s">
        <v>2440</v>
      </c>
      <c r="D72" s="158" t="s">
        <v>2441</v>
      </c>
      <c r="E72" s="161" t="s">
        <v>2442</v>
      </c>
      <c r="F72" s="164" t="s">
        <v>2250</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2358</v>
      </c>
      <c r="B73" s="154" t="s">
        <v>2016</v>
      </c>
      <c r="C73" s="155" t="s">
        <v>2443</v>
      </c>
      <c r="D73" s="158" t="s">
        <v>2444</v>
      </c>
      <c r="E73" s="161" t="s">
        <v>2445</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2358</v>
      </c>
      <c r="B74" s="154" t="s">
        <v>2016</v>
      </c>
      <c r="C74" s="155" t="s">
        <v>2446</v>
      </c>
      <c r="D74" s="158" t="s">
        <v>2447</v>
      </c>
      <c r="E74" s="161" t="s">
        <v>2448</v>
      </c>
      <c r="F74" s="164" t="s">
        <v>2254</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2358</v>
      </c>
      <c r="B75" s="154" t="s">
        <v>2016</v>
      </c>
      <c r="C75" s="155" t="s">
        <v>2449</v>
      </c>
      <c r="D75" s="158" t="s">
        <v>2450</v>
      </c>
      <c r="E75" s="161" t="s">
        <v>2451</v>
      </c>
      <c r="F75" s="164" t="s">
        <v>2264</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2358</v>
      </c>
      <c r="B76" s="154" t="s">
        <v>2016</v>
      </c>
      <c r="C76" s="155" t="s">
        <v>2452</v>
      </c>
      <c r="D76" s="158" t="s">
        <v>2453</v>
      </c>
      <c r="E76" s="161" t="s">
        <v>2454</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2358</v>
      </c>
      <c r="B77" s="153" t="s">
        <v>2286</v>
      </c>
      <c r="C77" s="151" t="s">
        <v>2455</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2358</v>
      </c>
      <c r="B78" s="154" t="s">
        <v>2286</v>
      </c>
      <c r="C78" s="155" t="s">
        <v>2456</v>
      </c>
      <c r="D78" s="158" t="s">
        <v>2457</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2358</v>
      </c>
      <c r="B79" s="154" t="s">
        <v>2286</v>
      </c>
      <c r="C79" s="155" t="s">
        <v>2458</v>
      </c>
      <c r="D79" s="158" t="s">
        <v>2459</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2358</v>
      </c>
      <c r="B80" s="154" t="s">
        <v>2286</v>
      </c>
      <c r="C80" s="155" t="s">
        <v>2460</v>
      </c>
      <c r="D80" s="158" t="s">
        <v>2461</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2358</v>
      </c>
      <c r="B81" s="153" t="s">
        <v>2214</v>
      </c>
      <c r="C81" s="151" t="s">
        <v>2462</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2358</v>
      </c>
      <c r="B82" s="154" t="s">
        <v>2214</v>
      </c>
      <c r="C82" s="155" t="s">
        <v>2463</v>
      </c>
      <c r="D82" s="158" t="s">
        <v>2464</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2358</v>
      </c>
      <c r="B83" s="154" t="s">
        <v>2214</v>
      </c>
      <c r="C83" s="155" t="s">
        <v>2465</v>
      </c>
      <c r="D83" s="158" t="s">
        <v>2466</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2358</v>
      </c>
      <c r="B84" s="154" t="s">
        <v>2214</v>
      </c>
      <c r="C84" s="155" t="s">
        <v>2467</v>
      </c>
      <c r="D84" s="158" t="s">
        <v>2468</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2358</v>
      </c>
      <c r="B85" s="154" t="s">
        <v>2214</v>
      </c>
      <c r="C85" s="155" t="s">
        <v>2469</v>
      </c>
      <c r="D85" s="158" t="s">
        <v>2470</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2358</v>
      </c>
      <c r="B86" s="154" t="s">
        <v>2214</v>
      </c>
      <c r="C86" s="155" t="s">
        <v>2471</v>
      </c>
      <c r="D86" s="158" t="s">
        <v>2472</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2473</v>
      </c>
      <c r="B87" s="152" t="s">
        <v>21</v>
      </c>
      <c r="C87" s="150" t="s">
        <v>2474</v>
      </c>
      <c r="D87" s="156" t="s">
        <v>2475</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2473</v>
      </c>
      <c r="B88" s="153" t="s">
        <v>2476</v>
      </c>
      <c r="C88" s="151" t="s">
        <v>2477</v>
      </c>
      <c r="D88" s="157" t="s">
        <v>2478</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2473</v>
      </c>
      <c r="B89" s="154" t="s">
        <v>2476</v>
      </c>
      <c r="C89" s="155" t="s">
        <v>2479</v>
      </c>
      <c r="D89" s="158" t="s">
        <v>2480</v>
      </c>
      <c r="E89" s="161" t="s">
        <v>2481</v>
      </c>
      <c r="F89" s="164" t="s">
        <v>2250</v>
      </c>
      <c r="G89" s="167">
        <f>IF(COUNTIF(H89:AU89,"&lt;&gt;")=0,"",SUMPRODUCT(((Recommendations[ImplStatus]="Implemented")+(Recommendations[ImplStatus]="Compensated"))*ISNUMBER(MATCH(Recommendations[Id],H89:AU89,0)))/COUNTIF(H89:AU89,"&lt;&gt;"))</f>
        <v>0</v>
      </c>
      <c r="H89" s="170" t="s">
        <v>144</v>
      </c>
      <c r="I89" s="170" t="s">
        <v>247</v>
      </c>
      <c r="J89" s="170" t="s">
        <v>252</v>
      </c>
      <c r="K89" s="170" t="s">
        <v>294</v>
      </c>
      <c r="L89" s="170" t="s">
        <v>331</v>
      </c>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2473</v>
      </c>
      <c r="B90" s="154" t="s">
        <v>2476</v>
      </c>
      <c r="C90" s="155" t="s">
        <v>2482</v>
      </c>
      <c r="D90" s="158" t="s">
        <v>2483</v>
      </c>
      <c r="E90" s="161" t="s">
        <v>2484</v>
      </c>
      <c r="F90" s="164" t="s">
        <v>2254</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2473</v>
      </c>
      <c r="B91" s="154" t="s">
        <v>2476</v>
      </c>
      <c r="C91" s="155" t="s">
        <v>2485</v>
      </c>
      <c r="D91" s="158" t="s">
        <v>2486</v>
      </c>
      <c r="E91" s="161" t="s">
        <v>2487</v>
      </c>
      <c r="F91" s="164" t="s">
        <v>2250</v>
      </c>
      <c r="G91" s="167">
        <f>IF(COUNTIF(H91:AU91,"&lt;&gt;")=0,"",SUMPRODUCT(((Recommendations[ImplStatus]="Implemented")+(Recommendations[ImplStatus]="Compensated"))*ISNUMBER(MATCH(Recommendations[Id],H91:AU91,0)))/COUNTIF(H91:AU91,"&lt;&gt;"))</f>
        <v>0</v>
      </c>
      <c r="H91" s="170" t="s">
        <v>294</v>
      </c>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2473</v>
      </c>
      <c r="B92" s="154" t="s">
        <v>2476</v>
      </c>
      <c r="C92" s="155" t="s">
        <v>2488</v>
      </c>
      <c r="D92" s="158" t="s">
        <v>2489</v>
      </c>
      <c r="E92" s="161" t="s">
        <v>2490</v>
      </c>
      <c r="F92" s="164" t="s">
        <v>2250</v>
      </c>
      <c r="G92" s="167">
        <f>IF(COUNTIF(H92:AU92,"&lt;&gt;")=0,"",SUMPRODUCT(((Recommendations[ImplStatus]="Implemented")+(Recommendations[ImplStatus]="Compensated"))*ISNUMBER(MATCH(Recommendations[Id],H92:AU92,0)))/COUNTIF(H92:AU92,"&lt;&gt;"))</f>
        <v>0</v>
      </c>
      <c r="H92" s="170" t="s">
        <v>272</v>
      </c>
      <c r="I92" s="170" t="s">
        <v>307</v>
      </c>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2473</v>
      </c>
      <c r="B93" s="154" t="s">
        <v>2476</v>
      </c>
      <c r="C93" s="155" t="s">
        <v>2491</v>
      </c>
      <c r="D93" s="158" t="s">
        <v>2492</v>
      </c>
      <c r="E93" s="161" t="s">
        <v>2493</v>
      </c>
      <c r="F93" s="164" t="s">
        <v>2250</v>
      </c>
      <c r="G93" s="167">
        <f>IF(COUNTIF(H93:AU93,"&lt;&gt;")=0,"",SUMPRODUCT(((Recommendations[ImplStatus]="Implemented")+(Recommendations[ImplStatus]="Compensated"))*ISNUMBER(MATCH(Recommendations[Id],H93:AU93,0)))/COUNTIF(H93:AU93,"&lt;&gt;"))</f>
        <v>0</v>
      </c>
      <c r="H93" s="170" t="s">
        <v>241</v>
      </c>
      <c r="I93" s="170" t="s">
        <v>257</v>
      </c>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2473</v>
      </c>
      <c r="B94" s="154" t="s">
        <v>2476</v>
      </c>
      <c r="C94" s="155" t="s">
        <v>2494</v>
      </c>
      <c r="D94" s="158" t="s">
        <v>2495</v>
      </c>
      <c r="E94" s="161" t="s">
        <v>2496</v>
      </c>
      <c r="F94" s="164" t="s">
        <v>2254</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2473</v>
      </c>
      <c r="B95" s="153" t="s">
        <v>2497</v>
      </c>
      <c r="C95" s="151" t="s">
        <v>2498</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2473</v>
      </c>
      <c r="B96" s="154" t="s">
        <v>2497</v>
      </c>
      <c r="C96" s="155" t="s">
        <v>2499</v>
      </c>
      <c r="D96" s="158" t="s">
        <v>2500</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2473</v>
      </c>
      <c r="B97" s="154" t="s">
        <v>2497</v>
      </c>
      <c r="C97" s="155" t="s">
        <v>2501</v>
      </c>
      <c r="D97" s="158" t="s">
        <v>2502</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2473</v>
      </c>
      <c r="B98" s="154" t="s">
        <v>2497</v>
      </c>
      <c r="C98" s="155" t="s">
        <v>2503</v>
      </c>
      <c r="D98" s="158" t="s">
        <v>2504</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2473</v>
      </c>
      <c r="B99" s="154" t="s">
        <v>2497</v>
      </c>
      <c r="C99" s="155" t="s">
        <v>2505</v>
      </c>
      <c r="D99" s="158" t="s">
        <v>2506</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2473</v>
      </c>
      <c r="B100" s="154" t="s">
        <v>2497</v>
      </c>
      <c r="C100" s="155" t="s">
        <v>2507</v>
      </c>
      <c r="D100" s="158" t="s">
        <v>2508</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2473</v>
      </c>
      <c r="B101" s="154" t="s">
        <v>2497</v>
      </c>
      <c r="C101" s="155" t="s">
        <v>2509</v>
      </c>
      <c r="D101" s="158" t="s">
        <v>2510</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2473</v>
      </c>
      <c r="B102" s="154" t="s">
        <v>2497</v>
      </c>
      <c r="C102" s="155" t="s">
        <v>2511</v>
      </c>
      <c r="D102" s="158" t="s">
        <v>2512</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2473</v>
      </c>
      <c r="B103" s="153" t="s">
        <v>1657</v>
      </c>
      <c r="C103" s="151" t="s">
        <v>2513</v>
      </c>
      <c r="D103" s="157" t="s">
        <v>2514</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2473</v>
      </c>
      <c r="B104" s="154" t="s">
        <v>1657</v>
      </c>
      <c r="C104" s="155" t="s">
        <v>2515</v>
      </c>
      <c r="D104" s="158" t="s">
        <v>2516</v>
      </c>
      <c r="E104" s="161" t="s">
        <v>2517</v>
      </c>
      <c r="F104" s="164" t="s">
        <v>2250</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2473</v>
      </c>
      <c r="B105" s="154" t="s">
        <v>1657</v>
      </c>
      <c r="C105" s="155" t="s">
        <v>2518</v>
      </c>
      <c r="D105" s="158" t="s">
        <v>2519</v>
      </c>
      <c r="E105" s="161" t="s">
        <v>2520</v>
      </c>
      <c r="F105" s="164" t="s">
        <v>2254</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2473</v>
      </c>
      <c r="B106" s="154" t="s">
        <v>1657</v>
      </c>
      <c r="C106" s="155" t="s">
        <v>2521</v>
      </c>
      <c r="D106" s="158" t="s">
        <v>2522</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2473</v>
      </c>
      <c r="B107" s="154" t="s">
        <v>1657</v>
      </c>
      <c r="C107" s="155" t="s">
        <v>2523</v>
      </c>
      <c r="D107" s="158" t="s">
        <v>2524</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2473</v>
      </c>
      <c r="B108" s="154" t="s">
        <v>1657</v>
      </c>
      <c r="C108" s="155" t="s">
        <v>2525</v>
      </c>
      <c r="D108" s="158" t="s">
        <v>2526</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2473</v>
      </c>
      <c r="B109" s="153" t="s">
        <v>2527</v>
      </c>
      <c r="C109" s="151" t="s">
        <v>2528</v>
      </c>
      <c r="D109" s="157" t="s">
        <v>2529</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2473</v>
      </c>
      <c r="B110" s="154" t="s">
        <v>2527</v>
      </c>
      <c r="C110" s="155" t="s">
        <v>2530</v>
      </c>
      <c r="D110" s="158" t="s">
        <v>2531</v>
      </c>
      <c r="E110" s="161" t="s">
        <v>2532</v>
      </c>
      <c r="F110" s="164" t="s">
        <v>2250</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2473</v>
      </c>
      <c r="B111" s="154" t="s">
        <v>2527</v>
      </c>
      <c r="C111" s="155" t="s">
        <v>2533</v>
      </c>
      <c r="D111" s="158" t="s">
        <v>2534</v>
      </c>
      <c r="E111" s="161" t="s">
        <v>2535</v>
      </c>
      <c r="F111" s="164" t="s">
        <v>2250</v>
      </c>
      <c r="G111" s="167">
        <f>IF(COUNTIF(H111:AU111,"&lt;&gt;")=0,"",SUMPRODUCT(((Recommendations[ImplStatus]="Implemented")+(Recommendations[ImplStatus]="Compensated"))*ISNUMBER(MATCH(Recommendations[Id],H111:AU111,0)))/COUNTIF(H111:AU111,"&lt;&gt;"))</f>
        <v>0</v>
      </c>
      <c r="H111" s="170" t="s">
        <v>73</v>
      </c>
      <c r="I111" s="170" t="s">
        <v>139</v>
      </c>
      <c r="J111" s="170" t="s">
        <v>192</v>
      </c>
      <c r="K111" s="170" t="s">
        <v>336</v>
      </c>
      <c r="L111" s="170" t="s">
        <v>346</v>
      </c>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2473</v>
      </c>
      <c r="B112" s="154" t="s">
        <v>2527</v>
      </c>
      <c r="C112" s="155" t="s">
        <v>2536</v>
      </c>
      <c r="D112" s="158" t="s">
        <v>2537</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2473</v>
      </c>
      <c r="B113" s="154" t="s">
        <v>2527</v>
      </c>
      <c r="C113" s="155" t="s">
        <v>2538</v>
      </c>
      <c r="D113" s="158" t="s">
        <v>2539</v>
      </c>
      <c r="E113" s="161"/>
      <c r="F113" s="164" t="s">
        <v>21</v>
      </c>
      <c r="G113" s="167">
        <f>IF(COUNTIF(H113:AU113,"&lt;&gt;")=0,"",SUMPRODUCT(((Recommendations[ImplStatus]="Implemented")+(Recommendations[ImplStatus]="Compensated"))*ISNUMBER(MATCH(Recommendations[Id],H113:AU113,0)))/COUNTIF(H113:AU113,"&lt;&gt;"))</f>
        <v>0</v>
      </c>
      <c r="H113" s="170" t="s">
        <v>41</v>
      </c>
      <c r="I113" s="170" t="s">
        <v>87</v>
      </c>
      <c r="J113" s="170" t="s">
        <v>123</v>
      </c>
      <c r="K113" s="170" t="s">
        <v>164</v>
      </c>
      <c r="L113" s="170" t="s">
        <v>209</v>
      </c>
      <c r="M113" s="170" t="s">
        <v>232</v>
      </c>
      <c r="N113" s="170" t="s">
        <v>276</v>
      </c>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2473</v>
      </c>
      <c r="B114" s="154" t="s">
        <v>2527</v>
      </c>
      <c r="C114" s="155" t="s">
        <v>2540</v>
      </c>
      <c r="D114" s="158" t="s">
        <v>2541</v>
      </c>
      <c r="E114" s="161"/>
      <c r="F114" s="164" t="s">
        <v>21</v>
      </c>
      <c r="G114" s="167">
        <f>IF(COUNTIF(H114:AU114,"&lt;&gt;")=0,"",SUMPRODUCT(((Recommendations[ImplStatus]="Implemented")+(Recommendations[ImplStatus]="Compensated"))*ISNUMBER(MATCH(Recommendations[Id],H114:AU114,0)))/COUNTIF(H114:AU114,"&lt;&gt;"))</f>
        <v>0</v>
      </c>
      <c r="H114" s="170" t="s">
        <v>321</v>
      </c>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2473</v>
      </c>
      <c r="B115" s="154" t="s">
        <v>2527</v>
      </c>
      <c r="C115" s="155" t="s">
        <v>2542</v>
      </c>
      <c r="D115" s="158" t="s">
        <v>2543</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2473</v>
      </c>
      <c r="B116" s="154" t="s">
        <v>2527</v>
      </c>
      <c r="C116" s="155" t="s">
        <v>2544</v>
      </c>
      <c r="D116" s="158" t="s">
        <v>2545</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2473</v>
      </c>
      <c r="B117" s="154" t="s">
        <v>2527</v>
      </c>
      <c r="C117" s="155" t="s">
        <v>2546</v>
      </c>
      <c r="D117" s="158" t="s">
        <v>2547</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2473</v>
      </c>
      <c r="B118" s="154" t="s">
        <v>2527</v>
      </c>
      <c r="C118" s="155" t="s">
        <v>2548</v>
      </c>
      <c r="D118" s="158" t="s">
        <v>2549</v>
      </c>
      <c r="E118" s="161" t="s">
        <v>2550</v>
      </c>
      <c r="F118" s="164" t="s">
        <v>2250</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2473</v>
      </c>
      <c r="B119" s="154" t="s">
        <v>2527</v>
      </c>
      <c r="C119" s="155" t="s">
        <v>2551</v>
      </c>
      <c r="D119" s="158" t="s">
        <v>2552</v>
      </c>
      <c r="E119" s="161" t="s">
        <v>2553</v>
      </c>
      <c r="F119" s="164" t="s">
        <v>2250</v>
      </c>
      <c r="G119" s="167">
        <f>IF(COUNTIF(H119:AU119,"&lt;&gt;")=0,"",SUMPRODUCT(((Recommendations[ImplStatus]="Implemented")+(Recommendations[ImplStatus]="Compensated"))*ISNUMBER(MATCH(Recommendations[Id],H119:AU119,0)))/COUNTIF(H119:AU119,"&lt;&gt;"))</f>
        <v>0</v>
      </c>
      <c r="H119" s="170" t="s">
        <v>56</v>
      </c>
      <c r="I119" s="170" t="s">
        <v>62</v>
      </c>
      <c r="J119" s="170" t="s">
        <v>299</v>
      </c>
      <c r="K119" s="170" t="s">
        <v>304</v>
      </c>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2473</v>
      </c>
      <c r="B120" s="153" t="s">
        <v>2554</v>
      </c>
      <c r="C120" s="151" t="s">
        <v>2555</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2473</v>
      </c>
      <c r="B121" s="154" t="s">
        <v>2554</v>
      </c>
      <c r="C121" s="155" t="s">
        <v>2556</v>
      </c>
      <c r="D121" s="158" t="s">
        <v>2557</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2473</v>
      </c>
      <c r="B122" s="154" t="s">
        <v>2554</v>
      </c>
      <c r="C122" s="155" t="s">
        <v>2558</v>
      </c>
      <c r="D122" s="158" t="s">
        <v>2559</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2473</v>
      </c>
      <c r="B123" s="154" t="s">
        <v>2554</v>
      </c>
      <c r="C123" s="155" t="s">
        <v>2560</v>
      </c>
      <c r="D123" s="158" t="s">
        <v>2561</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2473</v>
      </c>
      <c r="B124" s="154" t="s">
        <v>2554</v>
      </c>
      <c r="C124" s="155" t="s">
        <v>2562</v>
      </c>
      <c r="D124" s="158" t="s">
        <v>2563</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2473</v>
      </c>
      <c r="B125" s="154" t="s">
        <v>2554</v>
      </c>
      <c r="C125" s="155" t="s">
        <v>2564</v>
      </c>
      <c r="D125" s="158" t="s">
        <v>2565</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2473</v>
      </c>
      <c r="B126" s="154" t="s">
        <v>2554</v>
      </c>
      <c r="C126" s="155" t="s">
        <v>2566</v>
      </c>
      <c r="D126" s="158" t="s">
        <v>2567</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2473</v>
      </c>
      <c r="B127" s="154" t="s">
        <v>2554</v>
      </c>
      <c r="C127" s="155" t="s">
        <v>2568</v>
      </c>
      <c r="D127" s="158" t="s">
        <v>2569</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2473</v>
      </c>
      <c r="B128" s="154" t="s">
        <v>2554</v>
      </c>
      <c r="C128" s="155" t="s">
        <v>2570</v>
      </c>
      <c r="D128" s="158" t="s">
        <v>2571</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2473</v>
      </c>
      <c r="B129" s="154" t="s">
        <v>2554</v>
      </c>
      <c r="C129" s="155" t="s">
        <v>2572</v>
      </c>
      <c r="D129" s="158" t="s">
        <v>2573</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2473</v>
      </c>
      <c r="B130" s="154" t="s">
        <v>2554</v>
      </c>
      <c r="C130" s="155" t="s">
        <v>2574</v>
      </c>
      <c r="D130" s="158" t="s">
        <v>2575</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2473</v>
      </c>
      <c r="B131" s="154" t="s">
        <v>2554</v>
      </c>
      <c r="C131" s="155" t="s">
        <v>2576</v>
      </c>
      <c r="D131" s="158" t="s">
        <v>2577</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2473</v>
      </c>
      <c r="B132" s="154" t="s">
        <v>2554</v>
      </c>
      <c r="C132" s="155" t="s">
        <v>2578</v>
      </c>
      <c r="D132" s="158" t="s">
        <v>2579</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2473</v>
      </c>
      <c r="B133" s="153" t="s">
        <v>2580</v>
      </c>
      <c r="C133" s="151" t="s">
        <v>2581</v>
      </c>
      <c r="D133" s="157" t="s">
        <v>2582</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2473</v>
      </c>
      <c r="B134" s="154" t="s">
        <v>2580</v>
      </c>
      <c r="C134" s="155" t="s">
        <v>2583</v>
      </c>
      <c r="D134" s="158" t="s">
        <v>2584</v>
      </c>
      <c r="E134" s="161" t="s">
        <v>2585</v>
      </c>
      <c r="F134" s="164" t="s">
        <v>2254</v>
      </c>
      <c r="G134" s="167">
        <f>IF(COUNTIF(H134:AU134,"&lt;&gt;")=0,"",SUMPRODUCT(((Recommendations[ImplStatus]="Implemented")+(Recommendations[ImplStatus]="Compensated"))*ISNUMBER(MATCH(Recommendations[Id],H134:AU134,0)))/COUNTIF(H134:AU134,"&lt;&gt;"))</f>
        <v>0</v>
      </c>
      <c r="H134" s="170" t="s">
        <v>25</v>
      </c>
      <c r="I134" s="170" t="s">
        <v>30</v>
      </c>
      <c r="J134" s="170" t="s">
        <v>46</v>
      </c>
      <c r="K134" s="170" t="s">
        <v>78</v>
      </c>
      <c r="L134" s="170" t="s">
        <v>82</v>
      </c>
      <c r="M134" s="170" t="s">
        <v>92</v>
      </c>
      <c r="N134" s="170" t="s">
        <v>97</v>
      </c>
      <c r="O134" s="170" t="s">
        <v>102</v>
      </c>
      <c r="P134" s="170" t="s">
        <v>128</v>
      </c>
      <c r="Q134" s="170" t="s">
        <v>134</v>
      </c>
      <c r="R134" s="170" t="s">
        <v>197</v>
      </c>
      <c r="S134" s="170" t="s">
        <v>201</v>
      </c>
      <c r="T134" s="170" t="s">
        <v>214</v>
      </c>
      <c r="U134" s="170" t="s">
        <v>219</v>
      </c>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2473</v>
      </c>
      <c r="B135" s="154" t="s">
        <v>2580</v>
      </c>
      <c r="C135" s="155" t="s">
        <v>2586</v>
      </c>
      <c r="D135" s="158" t="s">
        <v>2587</v>
      </c>
      <c r="E135" s="161" t="s">
        <v>2588</v>
      </c>
      <c r="F135" s="164" t="s">
        <v>2254</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2473</v>
      </c>
      <c r="B136" s="154" t="s">
        <v>2580</v>
      </c>
      <c r="C136" s="155" t="s">
        <v>2589</v>
      </c>
      <c r="D136" s="158" t="s">
        <v>2590</v>
      </c>
      <c r="E136" s="161" t="s">
        <v>2591</v>
      </c>
      <c r="F136" s="164" t="s">
        <v>2250</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2473</v>
      </c>
      <c r="B137" s="154" t="s">
        <v>2580</v>
      </c>
      <c r="C137" s="155" t="s">
        <v>2592</v>
      </c>
      <c r="D137" s="158" t="s">
        <v>2593</v>
      </c>
      <c r="E137" s="161" t="s">
        <v>2594</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2473</v>
      </c>
      <c r="B138" s="153" t="s">
        <v>1890</v>
      </c>
      <c r="C138" s="151" t="s">
        <v>2595</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2473</v>
      </c>
      <c r="B139" s="154" t="s">
        <v>1890</v>
      </c>
      <c r="C139" s="155" t="s">
        <v>2596</v>
      </c>
      <c r="D139" s="158" t="s">
        <v>2597</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2473</v>
      </c>
      <c r="B140" s="154" t="s">
        <v>1890</v>
      </c>
      <c r="C140" s="155" t="s">
        <v>2598</v>
      </c>
      <c r="D140" s="158" t="s">
        <v>2599</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2473</v>
      </c>
      <c r="B141" s="153" t="s">
        <v>2600</v>
      </c>
      <c r="C141" s="151" t="s">
        <v>2601</v>
      </c>
      <c r="D141" s="157" t="s">
        <v>2602</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2473</v>
      </c>
      <c r="B142" s="154" t="s">
        <v>2600</v>
      </c>
      <c r="C142" s="155" t="s">
        <v>2603</v>
      </c>
      <c r="D142" s="158" t="s">
        <v>2604</v>
      </c>
      <c r="E142" s="161" t="s">
        <v>2605</v>
      </c>
      <c r="F142" s="164" t="s">
        <v>2250</v>
      </c>
      <c r="G142" s="167">
        <f>IF(COUNTIF(H142:AU142,"&lt;&gt;")=0,"",SUMPRODUCT(((Recommendations[ImplStatus]="Implemented")+(Recommendations[ImplStatus]="Compensated"))*ISNUMBER(MATCH(Recommendations[Id],H142:AU142,0)))/COUNTIF(H142:AU142,"&lt;&gt;"))</f>
        <v>0</v>
      </c>
      <c r="H142" s="170" t="s">
        <v>51</v>
      </c>
      <c r="I142" s="170" t="s">
        <v>108</v>
      </c>
      <c r="J142" s="170" t="s">
        <v>113</v>
      </c>
      <c r="K142" s="170" t="s">
        <v>118</v>
      </c>
      <c r="L142" s="170" t="s">
        <v>149</v>
      </c>
      <c r="M142" s="170" t="s">
        <v>154</v>
      </c>
      <c r="N142" s="170" t="s">
        <v>159</v>
      </c>
      <c r="O142" s="170" t="s">
        <v>169</v>
      </c>
      <c r="P142" s="170" t="s">
        <v>174</v>
      </c>
      <c r="Q142" s="170" t="s">
        <v>178</v>
      </c>
      <c r="R142" s="170" t="s">
        <v>222</v>
      </c>
      <c r="S142" s="170" t="s">
        <v>227</v>
      </c>
      <c r="T142" s="170" t="s">
        <v>237</v>
      </c>
      <c r="U142" s="170" t="s">
        <v>326</v>
      </c>
      <c r="V142" s="170" t="s">
        <v>341</v>
      </c>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2473</v>
      </c>
      <c r="B143" s="154" t="s">
        <v>2600</v>
      </c>
      <c r="C143" s="155" t="s">
        <v>2606</v>
      </c>
      <c r="D143" s="158" t="s">
        <v>2607</v>
      </c>
      <c r="E143" s="161" t="s">
        <v>2608</v>
      </c>
      <c r="F143" s="164" t="s">
        <v>2250</v>
      </c>
      <c r="G143" s="167">
        <f>IF(COUNTIF(H143:AU143,"&lt;&gt;")=0,"",SUMPRODUCT(((Recommendations[ImplStatus]="Implemented")+(Recommendations[ImplStatus]="Compensated"))*ISNUMBER(MATCH(Recommendations[Id],H143:AU143,0)))/COUNTIF(H143:AU143,"&lt;&gt;"))</f>
        <v>0</v>
      </c>
      <c r="H143" s="170" t="s">
        <v>316</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2473</v>
      </c>
      <c r="B144" s="154" t="s">
        <v>2600</v>
      </c>
      <c r="C144" s="155" t="s">
        <v>2609</v>
      </c>
      <c r="D144" s="158" t="s">
        <v>2610</v>
      </c>
      <c r="E144" s="161" t="s">
        <v>2611</v>
      </c>
      <c r="F144" s="164" t="s">
        <v>2254</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2473</v>
      </c>
      <c r="B145" s="154" t="s">
        <v>2600</v>
      </c>
      <c r="C145" s="155" t="s">
        <v>2612</v>
      </c>
      <c r="D145" s="158" t="s">
        <v>2613</v>
      </c>
      <c r="E145" s="161" t="s">
        <v>2614</v>
      </c>
      <c r="F145" s="164" t="s">
        <v>2250</v>
      </c>
      <c r="G145" s="167">
        <f>IF(COUNTIF(H145:AU145,"&lt;&gt;")=0,"",SUMPRODUCT(((Recommendations[ImplStatus]="Implemented")+(Recommendations[ImplStatus]="Compensated"))*ISNUMBER(MATCH(Recommendations[Id],H145:AU145,0)))/COUNTIF(H145:AU145,"&lt;&gt;"))</f>
        <v>0</v>
      </c>
      <c r="H145" s="170" t="s">
        <v>14</v>
      </c>
      <c r="I145" s="170" t="s">
        <v>36</v>
      </c>
      <c r="J145" s="170" t="s">
        <v>67</v>
      </c>
      <c r="K145" s="170" t="s">
        <v>182</v>
      </c>
      <c r="L145" s="170" t="s">
        <v>188</v>
      </c>
      <c r="M145" s="170" t="s">
        <v>205</v>
      </c>
      <c r="N145" s="170" t="s">
        <v>262</v>
      </c>
      <c r="O145" s="170" t="s">
        <v>267</v>
      </c>
      <c r="P145" s="170" t="s">
        <v>281</v>
      </c>
      <c r="Q145" s="170" t="s">
        <v>286</v>
      </c>
      <c r="R145" s="170" t="s">
        <v>291</v>
      </c>
      <c r="S145" s="170" t="s">
        <v>312</v>
      </c>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2473</v>
      </c>
      <c r="B146" s="154" t="s">
        <v>2600</v>
      </c>
      <c r="C146" s="155" t="s">
        <v>2615</v>
      </c>
      <c r="D146" s="158" t="s">
        <v>2616</v>
      </c>
      <c r="E146" s="161" t="s">
        <v>2617</v>
      </c>
      <c r="F146" s="164" t="s">
        <v>2250</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2473</v>
      </c>
      <c r="B147" s="154" t="s">
        <v>2600</v>
      </c>
      <c r="C147" s="155" t="s">
        <v>2618</v>
      </c>
      <c r="D147" s="158" t="s">
        <v>2619</v>
      </c>
      <c r="E147" s="161" t="s">
        <v>2620</v>
      </c>
      <c r="F147" s="164" t="s">
        <v>2250</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2473</v>
      </c>
      <c r="B148" s="153" t="s">
        <v>2621</v>
      </c>
      <c r="C148" s="151" t="s">
        <v>2622</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2473</v>
      </c>
      <c r="B149" s="154" t="s">
        <v>2621</v>
      </c>
      <c r="C149" s="155" t="s">
        <v>2623</v>
      </c>
      <c r="D149" s="158" t="s">
        <v>2624</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2473</v>
      </c>
      <c r="B150" s="154" t="s">
        <v>2621</v>
      </c>
      <c r="C150" s="155" t="s">
        <v>2625</v>
      </c>
      <c r="D150" s="158" t="s">
        <v>2626</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2473</v>
      </c>
      <c r="B151" s="154" t="s">
        <v>2621</v>
      </c>
      <c r="C151" s="155" t="s">
        <v>2627</v>
      </c>
      <c r="D151" s="158" t="s">
        <v>2628</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2473</v>
      </c>
      <c r="B152" s="154" t="s">
        <v>2621</v>
      </c>
      <c r="C152" s="155" t="s">
        <v>2629</v>
      </c>
      <c r="D152" s="158" t="s">
        <v>2630</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2473</v>
      </c>
      <c r="B153" s="154" t="s">
        <v>2621</v>
      </c>
      <c r="C153" s="155" t="s">
        <v>2631</v>
      </c>
      <c r="D153" s="158" t="s">
        <v>2632</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2633</v>
      </c>
      <c r="B154" s="152" t="s">
        <v>21</v>
      </c>
      <c r="C154" s="150" t="s">
        <v>2634</v>
      </c>
      <c r="D154" s="156" t="s">
        <v>2635</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2633</v>
      </c>
      <c r="B155" s="153" t="s">
        <v>2636</v>
      </c>
      <c r="C155" s="151" t="s">
        <v>2637</v>
      </c>
      <c r="D155" s="157" t="s">
        <v>2638</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2633</v>
      </c>
      <c r="B156" s="154" t="s">
        <v>2636</v>
      </c>
      <c r="C156" s="155" t="s">
        <v>2639</v>
      </c>
      <c r="D156" s="158" t="s">
        <v>2640</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2633</v>
      </c>
      <c r="B157" s="154" t="s">
        <v>2636</v>
      </c>
      <c r="C157" s="155" t="s">
        <v>2641</v>
      </c>
      <c r="D157" s="158" t="s">
        <v>2642</v>
      </c>
      <c r="E157" s="161" t="s">
        <v>2643</v>
      </c>
      <c r="F157" s="164" t="s">
        <v>2250</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2633</v>
      </c>
      <c r="B158" s="154" t="s">
        <v>2636</v>
      </c>
      <c r="C158" s="155" t="s">
        <v>2644</v>
      </c>
      <c r="D158" s="158" t="s">
        <v>2645</v>
      </c>
      <c r="E158" s="161" t="s">
        <v>2646</v>
      </c>
      <c r="F158" s="164" t="s">
        <v>2250</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2633</v>
      </c>
      <c r="B159" s="154" t="s">
        <v>2636</v>
      </c>
      <c r="C159" s="155" t="s">
        <v>2647</v>
      </c>
      <c r="D159" s="158" t="s">
        <v>2648</v>
      </c>
      <c r="E159" s="161" t="s">
        <v>2649</v>
      </c>
      <c r="F159" s="164" t="s">
        <v>2250</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2633</v>
      </c>
      <c r="B160" s="154" t="s">
        <v>2636</v>
      </c>
      <c r="C160" s="155" t="s">
        <v>2650</v>
      </c>
      <c r="D160" s="158" t="s">
        <v>2651</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2633</v>
      </c>
      <c r="B161" s="154" t="s">
        <v>2636</v>
      </c>
      <c r="C161" s="155" t="s">
        <v>2652</v>
      </c>
      <c r="D161" s="158" t="s">
        <v>2653</v>
      </c>
      <c r="E161" s="161" t="s">
        <v>2654</v>
      </c>
      <c r="F161" s="164" t="s">
        <v>2250</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2633</v>
      </c>
      <c r="B162" s="154" t="s">
        <v>2636</v>
      </c>
      <c r="C162" s="155" t="s">
        <v>2655</v>
      </c>
      <c r="D162" s="158" t="s">
        <v>2656</v>
      </c>
      <c r="E162" s="161" t="s">
        <v>2657</v>
      </c>
      <c r="F162" s="164" t="s">
        <v>2250</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2633</v>
      </c>
      <c r="B163" s="154" t="s">
        <v>2636</v>
      </c>
      <c r="C163" s="155" t="s">
        <v>2658</v>
      </c>
      <c r="D163" s="158" t="s">
        <v>2659</v>
      </c>
      <c r="E163" s="161" t="s">
        <v>2660</v>
      </c>
      <c r="F163" s="164" t="s">
        <v>2250</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2633</v>
      </c>
      <c r="B164" s="153" t="s">
        <v>2054</v>
      </c>
      <c r="C164" s="151" t="s">
        <v>2661</v>
      </c>
      <c r="D164" s="157" t="s">
        <v>2662</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2633</v>
      </c>
      <c r="B165" s="154" t="s">
        <v>2054</v>
      </c>
      <c r="C165" s="155" t="s">
        <v>2663</v>
      </c>
      <c r="D165" s="158" t="s">
        <v>2664</v>
      </c>
      <c r="E165" s="161" t="s">
        <v>2665</v>
      </c>
      <c r="F165" s="164" t="s">
        <v>2250</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2633</v>
      </c>
      <c r="B166" s="154" t="s">
        <v>2054</v>
      </c>
      <c r="C166" s="155" t="s">
        <v>2666</v>
      </c>
      <c r="D166" s="158" t="s">
        <v>2667</v>
      </c>
      <c r="E166" s="161" t="s">
        <v>2668</v>
      </c>
      <c r="F166" s="164" t="s">
        <v>2250</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2633</v>
      </c>
      <c r="B167" s="154" t="s">
        <v>2054</v>
      </c>
      <c r="C167" s="155" t="s">
        <v>2669</v>
      </c>
      <c r="D167" s="158" t="s">
        <v>2670</v>
      </c>
      <c r="E167" s="161" t="s">
        <v>2671</v>
      </c>
      <c r="F167" s="164" t="s">
        <v>2250</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2633</v>
      </c>
      <c r="B168" s="154" t="s">
        <v>2054</v>
      </c>
      <c r="C168" s="155" t="s">
        <v>2672</v>
      </c>
      <c r="D168" s="158" t="s">
        <v>2673</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2633</v>
      </c>
      <c r="B169" s="154" t="s">
        <v>2054</v>
      </c>
      <c r="C169" s="155" t="s">
        <v>2674</v>
      </c>
      <c r="D169" s="158" t="s">
        <v>2675</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2633</v>
      </c>
      <c r="B170" s="154" t="s">
        <v>2054</v>
      </c>
      <c r="C170" s="155" t="s">
        <v>2676</v>
      </c>
      <c r="D170" s="158" t="s">
        <v>2677</v>
      </c>
      <c r="E170" s="161" t="s">
        <v>2678</v>
      </c>
      <c r="F170" s="164" t="s">
        <v>2264</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2633</v>
      </c>
      <c r="B171" s="154" t="s">
        <v>2054</v>
      </c>
      <c r="C171" s="155" t="s">
        <v>2679</v>
      </c>
      <c r="D171" s="158" t="s">
        <v>2680</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2633</v>
      </c>
      <c r="B172" s="154" t="s">
        <v>2054</v>
      </c>
      <c r="C172" s="155" t="s">
        <v>2681</v>
      </c>
      <c r="D172" s="158" t="s">
        <v>2682</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2633</v>
      </c>
      <c r="B173" s="154" t="s">
        <v>2054</v>
      </c>
      <c r="C173" s="155" t="s">
        <v>2683</v>
      </c>
      <c r="D173" s="158" t="s">
        <v>2684</v>
      </c>
      <c r="E173" s="161" t="s">
        <v>2685</v>
      </c>
      <c r="F173" s="164" t="s">
        <v>2250</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2633</v>
      </c>
      <c r="B174" s="153" t="s">
        <v>2686</v>
      </c>
      <c r="C174" s="151" t="s">
        <v>2687</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2633</v>
      </c>
      <c r="B175" s="154" t="s">
        <v>2686</v>
      </c>
      <c r="C175" s="155" t="s">
        <v>2688</v>
      </c>
      <c r="D175" s="158" t="s">
        <v>2689</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2633</v>
      </c>
      <c r="B176" s="154" t="s">
        <v>2686</v>
      </c>
      <c r="C176" s="155" t="s">
        <v>2690</v>
      </c>
      <c r="D176" s="158" t="s">
        <v>2691</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2633</v>
      </c>
      <c r="B177" s="154" t="s">
        <v>2686</v>
      </c>
      <c r="C177" s="155" t="s">
        <v>2692</v>
      </c>
      <c r="D177" s="158" t="s">
        <v>2693</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2633</v>
      </c>
      <c r="B178" s="154" t="s">
        <v>2686</v>
      </c>
      <c r="C178" s="155" t="s">
        <v>2694</v>
      </c>
      <c r="D178" s="158" t="s">
        <v>2695</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2633</v>
      </c>
      <c r="B179" s="154" t="s">
        <v>2686</v>
      </c>
      <c r="C179" s="155" t="s">
        <v>2696</v>
      </c>
      <c r="D179" s="158" t="s">
        <v>2697</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2698</v>
      </c>
      <c r="B180" s="152" t="s">
        <v>21</v>
      </c>
      <c r="C180" s="150" t="s">
        <v>2699</v>
      </c>
      <c r="D180" s="156" t="s">
        <v>2700</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2698</v>
      </c>
      <c r="B181" s="153" t="s">
        <v>2701</v>
      </c>
      <c r="C181" s="151" t="s">
        <v>2702</v>
      </c>
      <c r="D181" s="157" t="s">
        <v>2703</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2698</v>
      </c>
      <c r="B182" s="154" t="s">
        <v>2701</v>
      </c>
      <c r="C182" s="155" t="s">
        <v>2704</v>
      </c>
      <c r="D182" s="158" t="s">
        <v>2705</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2698</v>
      </c>
      <c r="B183" s="154" t="s">
        <v>2701</v>
      </c>
      <c r="C183" s="155" t="s">
        <v>2706</v>
      </c>
      <c r="D183" s="158" t="s">
        <v>2707</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2698</v>
      </c>
      <c r="B184" s="154" t="s">
        <v>2701</v>
      </c>
      <c r="C184" s="155" t="s">
        <v>2708</v>
      </c>
      <c r="D184" s="158" t="s">
        <v>2709</v>
      </c>
      <c r="E184" s="161" t="s">
        <v>2710</v>
      </c>
      <c r="F184" s="164" t="s">
        <v>2250</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2698</v>
      </c>
      <c r="B185" s="154" t="s">
        <v>2701</v>
      </c>
      <c r="C185" s="155" t="s">
        <v>2711</v>
      </c>
      <c r="D185" s="158" t="s">
        <v>2712</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2698</v>
      </c>
      <c r="B186" s="154" t="s">
        <v>2701</v>
      </c>
      <c r="C186" s="155" t="s">
        <v>2713</v>
      </c>
      <c r="D186" s="158" t="s">
        <v>2714</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2698</v>
      </c>
      <c r="B187" s="154" t="s">
        <v>2701</v>
      </c>
      <c r="C187" s="155" t="s">
        <v>2715</v>
      </c>
      <c r="D187" s="158" t="s">
        <v>2716</v>
      </c>
      <c r="E187" s="161" t="s">
        <v>2717</v>
      </c>
      <c r="F187" s="164" t="s">
        <v>2250</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2698</v>
      </c>
      <c r="B188" s="154" t="s">
        <v>2701</v>
      </c>
      <c r="C188" s="155" t="s">
        <v>2718</v>
      </c>
      <c r="D188" s="158" t="s">
        <v>2719</v>
      </c>
      <c r="E188" s="161" t="s">
        <v>2720</v>
      </c>
      <c r="F188" s="164" t="s">
        <v>2250</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2698</v>
      </c>
      <c r="B189" s="154" t="s">
        <v>2701</v>
      </c>
      <c r="C189" s="155" t="s">
        <v>2721</v>
      </c>
      <c r="D189" s="158" t="s">
        <v>2722</v>
      </c>
      <c r="E189" s="161" t="s">
        <v>2723</v>
      </c>
      <c r="F189" s="164" t="s">
        <v>2250</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2698</v>
      </c>
      <c r="B190" s="153" t="s">
        <v>2724</v>
      </c>
      <c r="C190" s="151" t="s">
        <v>2725</v>
      </c>
      <c r="D190" s="157" t="s">
        <v>2726</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2698</v>
      </c>
      <c r="B191" s="154" t="s">
        <v>2724</v>
      </c>
      <c r="C191" s="155" t="s">
        <v>2727</v>
      </c>
      <c r="D191" s="158" t="s">
        <v>2728</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2698</v>
      </c>
      <c r="B192" s="154" t="s">
        <v>2724</v>
      </c>
      <c r="C192" s="155" t="s">
        <v>2729</v>
      </c>
      <c r="D192" s="158" t="s">
        <v>2730</v>
      </c>
      <c r="E192" s="161" t="s">
        <v>2731</v>
      </c>
      <c r="F192" s="164" t="s">
        <v>2254</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2698</v>
      </c>
      <c r="B193" s="154" t="s">
        <v>2724</v>
      </c>
      <c r="C193" s="155" t="s">
        <v>2732</v>
      </c>
      <c r="D193" s="158" t="s">
        <v>2733</v>
      </c>
      <c r="E193" s="161" t="s">
        <v>2734</v>
      </c>
      <c r="F193" s="164" t="s">
        <v>2254</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2698</v>
      </c>
      <c r="B194" s="154" t="s">
        <v>2724</v>
      </c>
      <c r="C194" s="155" t="s">
        <v>2735</v>
      </c>
      <c r="D194" s="158" t="s">
        <v>2736</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2698</v>
      </c>
      <c r="B195" s="154" t="s">
        <v>2724</v>
      </c>
      <c r="C195" s="155" t="s">
        <v>2737</v>
      </c>
      <c r="D195" s="158" t="s">
        <v>2738</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2698</v>
      </c>
      <c r="B196" s="153" t="s">
        <v>2739</v>
      </c>
      <c r="C196" s="151" t="s">
        <v>2740</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2698</v>
      </c>
      <c r="B197" s="154" t="s">
        <v>2739</v>
      </c>
      <c r="C197" s="155" t="s">
        <v>2741</v>
      </c>
      <c r="D197" s="158" t="s">
        <v>2742</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2698</v>
      </c>
      <c r="B198" s="154" t="s">
        <v>2739</v>
      </c>
      <c r="C198" s="155" t="s">
        <v>2743</v>
      </c>
      <c r="D198" s="158" t="s">
        <v>2744</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2698</v>
      </c>
      <c r="B199" s="153" t="s">
        <v>2745</v>
      </c>
      <c r="C199" s="151" t="s">
        <v>2746</v>
      </c>
      <c r="D199" s="157" t="s">
        <v>2747</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2698</v>
      </c>
      <c r="B200" s="154" t="s">
        <v>2745</v>
      </c>
      <c r="C200" s="155" t="s">
        <v>2748</v>
      </c>
      <c r="D200" s="158" t="s">
        <v>2749</v>
      </c>
      <c r="E200" s="161" t="s">
        <v>2750</v>
      </c>
      <c r="F200" s="164" t="s">
        <v>2264</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2698</v>
      </c>
      <c r="B201" s="154" t="s">
        <v>2745</v>
      </c>
      <c r="C201" s="155" t="s">
        <v>2751</v>
      </c>
      <c r="D201" s="158" t="s">
        <v>2752</v>
      </c>
      <c r="E201" s="161" t="s">
        <v>2753</v>
      </c>
      <c r="F201" s="164" t="s">
        <v>2250</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2698</v>
      </c>
      <c r="B202" s="154" t="s">
        <v>2745</v>
      </c>
      <c r="C202" s="155" t="s">
        <v>2754</v>
      </c>
      <c r="D202" s="158" t="s">
        <v>2755</v>
      </c>
      <c r="E202" s="161" t="s">
        <v>2756</v>
      </c>
      <c r="F202" s="164" t="s">
        <v>2250</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2698</v>
      </c>
      <c r="B203" s="154" t="s">
        <v>2745</v>
      </c>
      <c r="C203" s="155" t="s">
        <v>2757</v>
      </c>
      <c r="D203" s="158" t="s">
        <v>2758</v>
      </c>
      <c r="E203" s="161" t="s">
        <v>2759</v>
      </c>
      <c r="F203" s="164" t="s">
        <v>2250</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2698</v>
      </c>
      <c r="B204" s="154" t="s">
        <v>2745</v>
      </c>
      <c r="C204" s="155" t="s">
        <v>2760</v>
      </c>
      <c r="D204" s="158" t="s">
        <v>2761</v>
      </c>
      <c r="E204" s="161" t="s">
        <v>2762</v>
      </c>
      <c r="F204" s="164" t="s">
        <v>2250</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2698</v>
      </c>
      <c r="B205" s="153" t="s">
        <v>2763</v>
      </c>
      <c r="C205" s="151" t="s">
        <v>2764</v>
      </c>
      <c r="D205" s="157" t="s">
        <v>2765</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2698</v>
      </c>
      <c r="B206" s="154" t="s">
        <v>2763</v>
      </c>
      <c r="C206" s="155" t="s">
        <v>2766</v>
      </c>
      <c r="D206" s="158" t="s">
        <v>2767</v>
      </c>
      <c r="E206" s="161" t="s">
        <v>2768</v>
      </c>
      <c r="F206" s="164" t="s">
        <v>2254</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2698</v>
      </c>
      <c r="B207" s="154" t="s">
        <v>2763</v>
      </c>
      <c r="C207" s="155" t="s">
        <v>2769</v>
      </c>
      <c r="D207" s="158" t="s">
        <v>2770</v>
      </c>
      <c r="E207" s="161" t="s">
        <v>2771</v>
      </c>
      <c r="F207" s="164" t="s">
        <v>2254</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2698</v>
      </c>
      <c r="B208" s="154" t="s">
        <v>2763</v>
      </c>
      <c r="C208" s="155" t="s">
        <v>2772</v>
      </c>
      <c r="D208" s="158" t="s">
        <v>2773</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2698</v>
      </c>
      <c r="B209" s="153" t="s">
        <v>2774</v>
      </c>
      <c r="C209" s="151" t="s">
        <v>2775</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2698</v>
      </c>
      <c r="B210" s="154" t="s">
        <v>2774</v>
      </c>
      <c r="C210" s="155" t="s">
        <v>2776</v>
      </c>
      <c r="D210" s="158" t="s">
        <v>2777</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2778</v>
      </c>
      <c r="B211" s="152" t="s">
        <v>21</v>
      </c>
      <c r="C211" s="150" t="s">
        <v>2779</v>
      </c>
      <c r="D211" s="156" t="s">
        <v>2780</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2778</v>
      </c>
      <c r="B212" s="153" t="s">
        <v>2781</v>
      </c>
      <c r="C212" s="151" t="s">
        <v>2782</v>
      </c>
      <c r="D212" s="157" t="s">
        <v>2783</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2778</v>
      </c>
      <c r="B213" s="154" t="s">
        <v>2781</v>
      </c>
      <c r="C213" s="155" t="s">
        <v>2784</v>
      </c>
      <c r="D213" s="158" t="s">
        <v>2785</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2778</v>
      </c>
      <c r="B214" s="154" t="s">
        <v>2781</v>
      </c>
      <c r="C214" s="155" t="s">
        <v>2786</v>
      </c>
      <c r="D214" s="158" t="s">
        <v>2787</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2778</v>
      </c>
      <c r="B215" s="154" t="s">
        <v>2781</v>
      </c>
      <c r="C215" s="155" t="s">
        <v>2788</v>
      </c>
      <c r="D215" s="158" t="s">
        <v>2789</v>
      </c>
      <c r="E215" s="161" t="s">
        <v>2790</v>
      </c>
      <c r="F215" s="164" t="s">
        <v>2254</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2778</v>
      </c>
      <c r="B216" s="154" t="s">
        <v>2781</v>
      </c>
      <c r="C216" s="155" t="s">
        <v>2791</v>
      </c>
      <c r="D216" s="158" t="s">
        <v>2792</v>
      </c>
      <c r="E216" s="161" t="s">
        <v>2793</v>
      </c>
      <c r="F216" s="164" t="s">
        <v>2250</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2778</v>
      </c>
      <c r="B217" s="153" t="s">
        <v>2739</v>
      </c>
      <c r="C217" s="151" t="s">
        <v>2794</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2778</v>
      </c>
      <c r="B218" s="154" t="s">
        <v>2739</v>
      </c>
      <c r="C218" s="155" t="s">
        <v>2795</v>
      </c>
      <c r="D218" s="158" t="s">
        <v>2796</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2778</v>
      </c>
      <c r="B219" s="154" t="s">
        <v>2739</v>
      </c>
      <c r="C219" s="155" t="s">
        <v>2797</v>
      </c>
      <c r="D219" s="158" t="s">
        <v>2798</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2778</v>
      </c>
      <c r="B220" s="153" t="s">
        <v>2799</v>
      </c>
      <c r="C220" s="151" t="s">
        <v>2800</v>
      </c>
      <c r="D220" s="157" t="s">
        <v>2801</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2778</v>
      </c>
      <c r="B221" s="154" t="s">
        <v>2799</v>
      </c>
      <c r="C221" s="155" t="s">
        <v>2802</v>
      </c>
      <c r="D221" s="158" t="s">
        <v>2803</v>
      </c>
      <c r="E221" s="161" t="s">
        <v>2804</v>
      </c>
      <c r="F221" s="164" t="s">
        <v>2250</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2778</v>
      </c>
      <c r="B222" s="154" t="s">
        <v>2799</v>
      </c>
      <c r="C222" s="155" t="s">
        <v>2805</v>
      </c>
      <c r="D222" s="158" t="s">
        <v>2806</v>
      </c>
      <c r="E222" s="161" t="s">
        <v>2807</v>
      </c>
      <c r="F222" s="164" t="s">
        <v>2250</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2778</v>
      </c>
      <c r="B223" s="154" t="s">
        <v>2799</v>
      </c>
      <c r="C223" s="155" t="s">
        <v>2808</v>
      </c>
      <c r="D223" s="158" t="s">
        <v>2809</v>
      </c>
      <c r="E223" s="161" t="s">
        <v>2810</v>
      </c>
      <c r="F223" s="164" t="s">
        <v>2250</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2778</v>
      </c>
      <c r="B224" s="154" t="s">
        <v>2799</v>
      </c>
      <c r="C224" s="155" t="s">
        <v>2811</v>
      </c>
      <c r="D224" s="158" t="s">
        <v>2812</v>
      </c>
      <c r="E224" s="161" t="s">
        <v>2813</v>
      </c>
      <c r="F224" s="164" t="s">
        <v>2250</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2778</v>
      </c>
      <c r="B225" s="154" t="s">
        <v>2799</v>
      </c>
      <c r="C225" s="155" t="s">
        <v>2814</v>
      </c>
      <c r="D225" s="158" t="s">
        <v>2815</v>
      </c>
      <c r="E225" s="161" t="s">
        <v>2816</v>
      </c>
      <c r="F225" s="164" t="s">
        <v>2250</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2778</v>
      </c>
      <c r="B226" s="171" t="s">
        <v>2799</v>
      </c>
      <c r="C226" s="172" t="s">
        <v>2817</v>
      </c>
      <c r="D226" s="173" t="s">
        <v>2818</v>
      </c>
      <c r="E226" s="174" t="s">
        <v>2819</v>
      </c>
      <c r="F226" s="175" t="s">
        <v>2250</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351</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IFERROR(INDEX('Recommendations'!$H$2:$H$69, MATCH(H2,'Recommendations'!$A$2:$A$69,0))="Implemented", FALSE))</xm:f>
            <x14:dxf>
              <font>
                <color rgb="FF000000"/>
              </font>
              <fill>
                <patternFill>
                  <bgColor rgb="FF3C7D22"/>
                </patternFill>
              </fill>
            </x14:dxf>
          </x14:cfRule>
          <x14:cfRule type="expression" priority="2" id="{00000000-000E-0000-0700-000002000000}">
            <xm:f>AND(H2&lt;&gt;"", IFERROR(INDEX('Recommendations'!$H$2:$H$69, MATCH(H2,'Recommendations'!$A$2:$A$69,0))="Compensated", FALSE))</xm:f>
            <x14:dxf>
              <font>
                <color rgb="FF000000"/>
              </font>
              <fill>
                <patternFill>
                  <bgColor rgb="FFC6E0B4"/>
                </patternFill>
              </fill>
            </x14:dxf>
          </x14:cfRule>
          <x14:cfRule type="expression" priority="3" id="{00000000-000E-0000-0700-000003000000}">
            <xm:f>AND(H2&lt;&gt;"", IFERROR(INDEX('Recommendations'!$H$2:$H$69, MATCH(H2,'Recommendations'!$A$2:$A$69,0))="Testing", FALSE))</xm:f>
            <x14:dxf>
              <font>
                <color rgb="FF000000"/>
              </font>
              <fill>
                <patternFill>
                  <bgColor rgb="FFFFC000"/>
                </patternFill>
              </fill>
            </x14:dxf>
          </x14:cfRule>
          <x14:cfRule type="expression" priority="4" id="{00000000-000E-0000-0700-000004000000}">
            <xm:f>AND(H2&lt;&gt;"", IFERROR(INDEX('Recommendations'!$H$2:$H$69, MATCH(H2,'Recommendations'!$A$2:$A$69,0))="Failed", FALSE))</xm:f>
            <x14:dxf>
              <font>
                <color rgb="FF000000"/>
              </font>
              <fill>
                <patternFill>
                  <bgColor rgb="FFD82891"/>
                </patternFill>
              </fill>
            </x14:dxf>
          </x14:cfRule>
          <x14:cfRule type="expression" priority="5" id="{00000000-000E-0000-0700-000005000000}">
            <xm:f>AND(H2&lt;&gt;"", IFERROR(INDEX('Recommendations'!$H$2:$H$69, MATCH(H2,'Recommendations'!$A$2:$A$69,0))="Risk Accepted", FALSE))</xm:f>
            <x14:dxf>
              <font>
                <color rgb="FF000000"/>
              </font>
              <fill>
                <patternFill>
                  <bgColor rgb="FFD9D9D9"/>
                </patternFill>
              </fill>
            </x14:dxf>
          </x14:cfRule>
          <x14:cfRule type="expression" priority="6" id="{00000000-000E-0000-0700-000006000000}">
            <xm:f>AND(H2&lt;&gt;"", IFERROR(INDEX('Recommendations'!$H$2:$H$69, MATCH(H2,'Recommendations'!$A$2:$A$69,0))="N/A",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2237</v>
      </c>
      <c r="B1" s="210" t="s">
        <v>2820</v>
      </c>
      <c r="C1" s="210" t="s">
        <v>2821</v>
      </c>
      <c r="D1" s="210" t="s">
        <v>2822</v>
      </c>
      <c r="E1" s="210" t="s">
        <v>1546</v>
      </c>
      <c r="F1" s="210" t="s">
        <v>605</v>
      </c>
      <c r="G1" s="210" t="s">
        <v>606</v>
      </c>
      <c r="H1" s="210" t="s">
        <v>607</v>
      </c>
      <c r="I1" s="210" t="s">
        <v>608</v>
      </c>
      <c r="J1" s="210" t="s">
        <v>609</v>
      </c>
      <c r="K1" s="210" t="s">
        <v>610</v>
      </c>
      <c r="L1" s="210" t="s">
        <v>611</v>
      </c>
      <c r="M1" s="210" t="s">
        <v>612</v>
      </c>
      <c r="N1" s="210" t="s">
        <v>613</v>
      </c>
      <c r="O1" s="210" t="s">
        <v>614</v>
      </c>
      <c r="P1" s="210" t="s">
        <v>615</v>
      </c>
      <c r="Q1" s="210" t="s">
        <v>616</v>
      </c>
      <c r="R1" s="210" t="s">
        <v>617</v>
      </c>
      <c r="S1" s="210" t="s">
        <v>618</v>
      </c>
      <c r="T1" s="210" t="s">
        <v>619</v>
      </c>
      <c r="U1" s="210" t="s">
        <v>620</v>
      </c>
      <c r="V1" s="210" t="s">
        <v>621</v>
      </c>
      <c r="W1" s="210" t="s">
        <v>622</v>
      </c>
      <c r="X1" s="210" t="s">
        <v>623</v>
      </c>
      <c r="Y1" s="210" t="s">
        <v>624</v>
      </c>
      <c r="Z1" s="210" t="s">
        <v>625</v>
      </c>
      <c r="AA1" s="210" t="s">
        <v>626</v>
      </c>
      <c r="AB1" s="210" t="s">
        <v>627</v>
      </c>
      <c r="AC1" s="210" t="s">
        <v>628</v>
      </c>
      <c r="AD1" s="210" t="s">
        <v>629</v>
      </c>
      <c r="AE1" s="210" t="s">
        <v>630</v>
      </c>
      <c r="AF1" s="210" t="s">
        <v>631</v>
      </c>
      <c r="AG1" s="210" t="s">
        <v>632</v>
      </c>
      <c r="AH1" s="210" t="s">
        <v>633</v>
      </c>
      <c r="AI1" s="210" t="s">
        <v>634</v>
      </c>
      <c r="AJ1" s="210" t="s">
        <v>635</v>
      </c>
      <c r="AK1" s="210" t="s">
        <v>636</v>
      </c>
      <c r="AL1" s="210" t="s">
        <v>637</v>
      </c>
      <c r="AM1" s="210" t="s">
        <v>638</v>
      </c>
      <c r="AN1" s="210" t="s">
        <v>639</v>
      </c>
      <c r="AO1" s="210" t="s">
        <v>640</v>
      </c>
      <c r="AP1" s="210" t="s">
        <v>641</v>
      </c>
      <c r="AQ1" s="210" t="s">
        <v>642</v>
      </c>
      <c r="AR1" s="210" t="s">
        <v>643</v>
      </c>
      <c r="AS1" s="210" t="s">
        <v>644</v>
      </c>
      <c r="AT1" s="211" t="s">
        <v>645</v>
      </c>
    </row>
    <row r="2" spans="1:46" ht="60" customHeight="1" outlineLevel="1" x14ac:dyDescent="0.35">
      <c r="A2" s="203" t="s">
        <v>446</v>
      </c>
      <c r="B2" s="189" t="s">
        <v>2823</v>
      </c>
      <c r="C2" s="189"/>
      <c r="D2" s="192" t="s">
        <v>2824</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446</v>
      </c>
      <c r="B3" s="190" t="s">
        <v>2823</v>
      </c>
      <c r="C3" s="191" t="s">
        <v>2825</v>
      </c>
      <c r="D3" s="193" t="s">
        <v>2826</v>
      </c>
      <c r="E3" s="193" t="s">
        <v>2827</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446</v>
      </c>
      <c r="B4" s="190" t="s">
        <v>2823</v>
      </c>
      <c r="C4" s="191" t="s">
        <v>2828</v>
      </c>
      <c r="D4" s="193" t="s">
        <v>2829</v>
      </c>
      <c r="E4" s="193" t="s">
        <v>2830</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446</v>
      </c>
      <c r="B5" s="190" t="s">
        <v>2823</v>
      </c>
      <c r="C5" s="191" t="s">
        <v>2831</v>
      </c>
      <c r="D5" s="193" t="s">
        <v>2832</v>
      </c>
      <c r="E5" s="193" t="s">
        <v>2833</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446</v>
      </c>
      <c r="B6" s="190" t="s">
        <v>2823</v>
      </c>
      <c r="C6" s="191" t="s">
        <v>2834</v>
      </c>
      <c r="D6" s="193" t="s">
        <v>2835</v>
      </c>
      <c r="E6" s="193" t="s">
        <v>2836</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446</v>
      </c>
      <c r="B7" s="190" t="s">
        <v>2823</v>
      </c>
      <c r="C7" s="191" t="s">
        <v>2837</v>
      </c>
      <c r="D7" s="193" t="s">
        <v>2838</v>
      </c>
      <c r="E7" s="193" t="s">
        <v>2839</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446</v>
      </c>
      <c r="B8" s="190" t="s">
        <v>2823</v>
      </c>
      <c r="C8" s="191" t="s">
        <v>2840</v>
      </c>
      <c r="D8" s="193" t="s">
        <v>2841</v>
      </c>
      <c r="E8" s="193" t="s">
        <v>2842</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446</v>
      </c>
      <c r="B9" s="190" t="s">
        <v>2823</v>
      </c>
      <c r="C9" s="191" t="s">
        <v>2843</v>
      </c>
      <c r="D9" s="193" t="s">
        <v>2844</v>
      </c>
      <c r="E9" s="193" t="s">
        <v>2845</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446</v>
      </c>
      <c r="B10" s="190" t="s">
        <v>2823</v>
      </c>
      <c r="C10" s="191" t="s">
        <v>2846</v>
      </c>
      <c r="D10" s="193" t="s">
        <v>2847</v>
      </c>
      <c r="E10" s="193" t="s">
        <v>2848</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446</v>
      </c>
      <c r="B11" s="190" t="s">
        <v>2823</v>
      </c>
      <c r="C11" s="191" t="s">
        <v>2849</v>
      </c>
      <c r="D11" s="193" t="s">
        <v>2850</v>
      </c>
      <c r="E11" s="193" t="s">
        <v>2851</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446</v>
      </c>
      <c r="B12" s="190" t="s">
        <v>2823</v>
      </c>
      <c r="C12" s="191" t="s">
        <v>2852</v>
      </c>
      <c r="D12" s="193" t="s">
        <v>2853</v>
      </c>
      <c r="E12" s="193" t="s">
        <v>2854</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446</v>
      </c>
      <c r="B13" s="190" t="s">
        <v>2823</v>
      </c>
      <c r="C13" s="191" t="s">
        <v>2855</v>
      </c>
      <c r="D13" s="193" t="s">
        <v>2856</v>
      </c>
      <c r="E13" s="193" t="s">
        <v>2857</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446</v>
      </c>
      <c r="B14" s="190" t="s">
        <v>2823</v>
      </c>
      <c r="C14" s="191" t="s">
        <v>2858</v>
      </c>
      <c r="D14" s="193" t="s">
        <v>2859</v>
      </c>
      <c r="E14" s="193" t="s">
        <v>2860</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446</v>
      </c>
      <c r="B15" s="190" t="s">
        <v>2823</v>
      </c>
      <c r="C15" s="191" t="s">
        <v>2861</v>
      </c>
      <c r="D15" s="193" t="s">
        <v>2862</v>
      </c>
      <c r="E15" s="193" t="s">
        <v>2863</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446</v>
      </c>
      <c r="B16" s="190" t="s">
        <v>2823</v>
      </c>
      <c r="C16" s="191" t="s">
        <v>2864</v>
      </c>
      <c r="D16" s="193" t="s">
        <v>2865</v>
      </c>
      <c r="E16" s="193" t="s">
        <v>2866</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446</v>
      </c>
      <c r="B17" s="190" t="s">
        <v>2823</v>
      </c>
      <c r="C17" s="191" t="s">
        <v>2867</v>
      </c>
      <c r="D17" s="193" t="s">
        <v>2868</v>
      </c>
      <c r="E17" s="193" t="s">
        <v>2869</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446</v>
      </c>
      <c r="B18" s="190" t="s">
        <v>2823</v>
      </c>
      <c r="C18" s="191" t="s">
        <v>2870</v>
      </c>
      <c r="D18" s="193" t="s">
        <v>2871</v>
      </c>
      <c r="E18" s="193" t="s">
        <v>2872</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446</v>
      </c>
      <c r="B19" s="189" t="s">
        <v>2873</v>
      </c>
      <c r="C19" s="189"/>
      <c r="D19" s="192" t="s">
        <v>2874</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446</v>
      </c>
      <c r="B20" s="190" t="s">
        <v>2873</v>
      </c>
      <c r="C20" s="191" t="s">
        <v>2875</v>
      </c>
      <c r="D20" s="193" t="s">
        <v>2876</v>
      </c>
      <c r="E20" s="193" t="s">
        <v>2877</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446</v>
      </c>
      <c r="B21" s="190" t="s">
        <v>2873</v>
      </c>
      <c r="C21" s="191" t="s">
        <v>2878</v>
      </c>
      <c r="D21" s="193" t="s">
        <v>2879</v>
      </c>
      <c r="E21" s="193" t="s">
        <v>2880</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446</v>
      </c>
      <c r="B22" s="190" t="s">
        <v>2873</v>
      </c>
      <c r="C22" s="191" t="s">
        <v>2881</v>
      </c>
      <c r="D22" s="193" t="s">
        <v>2882</v>
      </c>
      <c r="E22" s="193" t="s">
        <v>2883</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446</v>
      </c>
      <c r="B23" s="190" t="s">
        <v>2873</v>
      </c>
      <c r="C23" s="191" t="s">
        <v>2884</v>
      </c>
      <c r="D23" s="193" t="s">
        <v>2885</v>
      </c>
      <c r="E23" s="193" t="s">
        <v>2886</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446</v>
      </c>
      <c r="B24" s="190" t="s">
        <v>2873</v>
      </c>
      <c r="C24" s="191" t="s">
        <v>2887</v>
      </c>
      <c r="D24" s="193" t="s">
        <v>2888</v>
      </c>
      <c r="E24" s="193" t="s">
        <v>2889</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446</v>
      </c>
      <c r="B25" s="190" t="s">
        <v>2873</v>
      </c>
      <c r="C25" s="191" t="s">
        <v>2890</v>
      </c>
      <c r="D25" s="193" t="s">
        <v>2891</v>
      </c>
      <c r="E25" s="193" t="s">
        <v>2892</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446</v>
      </c>
      <c r="B26" s="190" t="s">
        <v>2873</v>
      </c>
      <c r="C26" s="191" t="s">
        <v>2893</v>
      </c>
      <c r="D26" s="193" t="s">
        <v>2894</v>
      </c>
      <c r="E26" s="193" t="s">
        <v>2895</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446</v>
      </c>
      <c r="B27" s="190" t="s">
        <v>2873</v>
      </c>
      <c r="C27" s="191" t="s">
        <v>2896</v>
      </c>
      <c r="D27" s="193" t="s">
        <v>2897</v>
      </c>
      <c r="E27" s="193" t="s">
        <v>2898</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446</v>
      </c>
      <c r="B28" s="190" t="s">
        <v>2873</v>
      </c>
      <c r="C28" s="191" t="s">
        <v>2899</v>
      </c>
      <c r="D28" s="193" t="s">
        <v>2900</v>
      </c>
      <c r="E28" s="193" t="s">
        <v>2901</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446</v>
      </c>
      <c r="B29" s="190" t="s">
        <v>2873</v>
      </c>
      <c r="C29" s="191" t="s">
        <v>2902</v>
      </c>
      <c r="D29" s="193" t="s">
        <v>2903</v>
      </c>
      <c r="E29" s="193" t="s">
        <v>2904</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446</v>
      </c>
      <c r="B30" s="190" t="s">
        <v>2873</v>
      </c>
      <c r="C30" s="191" t="s">
        <v>2905</v>
      </c>
      <c r="D30" s="193" t="s">
        <v>2906</v>
      </c>
      <c r="E30" s="193" t="s">
        <v>2907</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446</v>
      </c>
      <c r="B31" s="190" t="s">
        <v>2873</v>
      </c>
      <c r="C31" s="191" t="s">
        <v>2908</v>
      </c>
      <c r="D31" s="193" t="s">
        <v>2909</v>
      </c>
      <c r="E31" s="193" t="s">
        <v>2910</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2911</v>
      </c>
      <c r="B32" s="189"/>
      <c r="C32" s="189"/>
      <c r="D32" s="192" t="s">
        <v>2912</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2911</v>
      </c>
      <c r="B33" s="190"/>
      <c r="C33" s="191" t="s">
        <v>2913</v>
      </c>
      <c r="D33" s="193" t="s">
        <v>2914</v>
      </c>
      <c r="E33" s="193" t="s">
        <v>2915</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2911</v>
      </c>
      <c r="B34" s="190"/>
      <c r="C34" s="191" t="s">
        <v>2916</v>
      </c>
      <c r="D34" s="193" t="s">
        <v>2917</v>
      </c>
      <c r="E34" s="193" t="s">
        <v>2918</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2911</v>
      </c>
      <c r="B35" s="190"/>
      <c r="C35" s="191" t="s">
        <v>2919</v>
      </c>
      <c r="D35" s="193" t="s">
        <v>2920</v>
      </c>
      <c r="E35" s="193" t="s">
        <v>2921</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2911</v>
      </c>
      <c r="B36" s="189" t="s">
        <v>2922</v>
      </c>
      <c r="C36" s="189"/>
      <c r="D36" s="192" t="s">
        <v>2923</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2911</v>
      </c>
      <c r="B37" s="190" t="s">
        <v>2922</v>
      </c>
      <c r="C37" s="191" t="s">
        <v>2924</v>
      </c>
      <c r="D37" s="193" t="s">
        <v>2925</v>
      </c>
      <c r="E37" s="193" t="s">
        <v>2926</v>
      </c>
      <c r="F37" s="195">
        <f>IF(COUNTIF(G37:AT37,"&lt;&gt;")=0,"",SUMPRODUCT(((Recommendations[ImplStatus]="Implemented")+(Recommendations[ImplStatus]="Compensated"))*ISNUMBER(MATCH(Recommendations[Id],G37:AT37,0)))/COUNTIF(G37:AT37,"&lt;&gt;"))</f>
        <v>0</v>
      </c>
      <c r="G37" s="197" t="s">
        <v>92</v>
      </c>
      <c r="H37" s="197" t="s">
        <v>214</v>
      </c>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2911</v>
      </c>
      <c r="B38" s="190" t="s">
        <v>2922</v>
      </c>
      <c r="C38" s="191" t="s">
        <v>2927</v>
      </c>
      <c r="D38" s="193" t="s">
        <v>2928</v>
      </c>
      <c r="E38" s="193" t="s">
        <v>2929</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2911</v>
      </c>
      <c r="B39" s="190" t="s">
        <v>2922</v>
      </c>
      <c r="C39" s="191" t="s">
        <v>2930</v>
      </c>
      <c r="D39" s="193" t="s">
        <v>2931</v>
      </c>
      <c r="E39" s="193" t="s">
        <v>2932</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2911</v>
      </c>
      <c r="B40" s="190" t="s">
        <v>2922</v>
      </c>
      <c r="C40" s="191" t="s">
        <v>2933</v>
      </c>
      <c r="D40" s="193" t="s">
        <v>2934</v>
      </c>
      <c r="E40" s="193" t="s">
        <v>2935</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2911</v>
      </c>
      <c r="B41" s="190" t="s">
        <v>2922</v>
      </c>
      <c r="C41" s="191" t="s">
        <v>2936</v>
      </c>
      <c r="D41" s="193" t="s">
        <v>2937</v>
      </c>
      <c r="E41" s="193" t="s">
        <v>2938</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2911</v>
      </c>
      <c r="B42" s="190" t="s">
        <v>2922</v>
      </c>
      <c r="C42" s="191" t="s">
        <v>2939</v>
      </c>
      <c r="D42" s="193" t="s">
        <v>2940</v>
      </c>
      <c r="E42" s="193" t="s">
        <v>2941</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2911</v>
      </c>
      <c r="B43" s="190" t="s">
        <v>2922</v>
      </c>
      <c r="C43" s="191" t="s">
        <v>2942</v>
      </c>
      <c r="D43" s="193" t="s">
        <v>2943</v>
      </c>
      <c r="E43" s="193" t="s">
        <v>2944</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2911</v>
      </c>
      <c r="B44" s="190" t="s">
        <v>2922</v>
      </c>
      <c r="C44" s="191" t="s">
        <v>2945</v>
      </c>
      <c r="D44" s="193" t="s">
        <v>2946</v>
      </c>
      <c r="E44" s="193" t="s">
        <v>2947</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2911</v>
      </c>
      <c r="B45" s="190" t="s">
        <v>2922</v>
      </c>
      <c r="C45" s="191" t="s">
        <v>2948</v>
      </c>
      <c r="D45" s="193" t="s">
        <v>2949</v>
      </c>
      <c r="E45" s="193" t="s">
        <v>2950</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2911</v>
      </c>
      <c r="B46" s="190" t="s">
        <v>2922</v>
      </c>
      <c r="C46" s="191" t="s">
        <v>2951</v>
      </c>
      <c r="D46" s="193" t="s">
        <v>2952</v>
      </c>
      <c r="E46" s="193" t="s">
        <v>2953</v>
      </c>
      <c r="F46" s="195">
        <f>IF(COUNTIF(G46:AT46,"&lt;&gt;")=0,"",SUMPRODUCT(((Recommendations[ImplStatus]="Implemented")+(Recommendations[ImplStatus]="Compensated"))*ISNUMBER(MATCH(Recommendations[Id],G46:AT46,0)))/COUNTIF(G46:AT46,"&lt;&gt;"))</f>
        <v>0</v>
      </c>
      <c r="G46" s="197" t="s">
        <v>30</v>
      </c>
      <c r="H46" s="197" t="s">
        <v>82</v>
      </c>
      <c r="I46" s="197" t="s">
        <v>201</v>
      </c>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2911</v>
      </c>
      <c r="B47" s="190" t="s">
        <v>2922</v>
      </c>
      <c r="C47" s="191" t="s">
        <v>2954</v>
      </c>
      <c r="D47" s="193" t="s">
        <v>2955</v>
      </c>
      <c r="E47" s="193" t="s">
        <v>2956</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2911</v>
      </c>
      <c r="B48" s="190" t="s">
        <v>2922</v>
      </c>
      <c r="C48" s="191" t="s">
        <v>2957</v>
      </c>
      <c r="D48" s="193" t="s">
        <v>2958</v>
      </c>
      <c r="E48" s="193" t="s">
        <v>2959</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2911</v>
      </c>
      <c r="B49" s="190" t="s">
        <v>2922</v>
      </c>
      <c r="C49" s="191" t="s">
        <v>2960</v>
      </c>
      <c r="D49" s="193" t="s">
        <v>2961</v>
      </c>
      <c r="E49" s="193" t="s">
        <v>2962</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2911</v>
      </c>
      <c r="B50" s="190" t="s">
        <v>2922</v>
      </c>
      <c r="C50" s="191" t="s">
        <v>2963</v>
      </c>
      <c r="D50" s="193" t="s">
        <v>2964</v>
      </c>
      <c r="E50" s="193" t="s">
        <v>2965</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2911</v>
      </c>
      <c r="B51" s="189" t="s">
        <v>2966</v>
      </c>
      <c r="C51" s="189"/>
      <c r="D51" s="192" t="s">
        <v>2967</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2911</v>
      </c>
      <c r="B52" s="190" t="s">
        <v>2966</v>
      </c>
      <c r="C52" s="191" t="s">
        <v>2968</v>
      </c>
      <c r="D52" s="193" t="s">
        <v>2969</v>
      </c>
      <c r="E52" s="193" t="s">
        <v>2970</v>
      </c>
      <c r="F52" s="195">
        <f>IF(COUNTIF(G52:AT52,"&lt;&gt;")=0,"",SUMPRODUCT(((Recommendations[ImplStatus]="Implemented")+(Recommendations[ImplStatus]="Compensated"))*ISNUMBER(MATCH(Recommendations[Id],G52:AT52,0)))/COUNTIF(G52:AT52,"&lt;&gt;"))</f>
        <v>0</v>
      </c>
      <c r="G52" s="197" t="s">
        <v>326</v>
      </c>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2911</v>
      </c>
      <c r="B53" s="190" t="s">
        <v>2966</v>
      </c>
      <c r="C53" s="191" t="s">
        <v>2971</v>
      </c>
      <c r="D53" s="193" t="s">
        <v>2972</v>
      </c>
      <c r="E53" s="193" t="s">
        <v>2973</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2911</v>
      </c>
      <c r="B54" s="190" t="s">
        <v>2966</v>
      </c>
      <c r="C54" s="191" t="s">
        <v>2974</v>
      </c>
      <c r="D54" s="193" t="s">
        <v>2975</v>
      </c>
      <c r="E54" s="193" t="s">
        <v>2976</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2911</v>
      </c>
      <c r="B55" s="190" t="s">
        <v>2966</v>
      </c>
      <c r="C55" s="191" t="s">
        <v>2977</v>
      </c>
      <c r="D55" s="193" t="s">
        <v>2978</v>
      </c>
      <c r="E55" s="193" t="s">
        <v>2979</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2911</v>
      </c>
      <c r="B56" s="190" t="s">
        <v>2966</v>
      </c>
      <c r="C56" s="191" t="s">
        <v>2980</v>
      </c>
      <c r="D56" s="193" t="s">
        <v>2981</v>
      </c>
      <c r="E56" s="193" t="s">
        <v>2982</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2911</v>
      </c>
      <c r="B57" s="190" t="s">
        <v>2966</v>
      </c>
      <c r="C57" s="191" t="s">
        <v>2983</v>
      </c>
      <c r="D57" s="193" t="s">
        <v>2984</v>
      </c>
      <c r="E57" s="193" t="s">
        <v>2985</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2911</v>
      </c>
      <c r="B58" s="190" t="s">
        <v>2966</v>
      </c>
      <c r="C58" s="191" t="s">
        <v>2986</v>
      </c>
      <c r="D58" s="193" t="s">
        <v>2987</v>
      </c>
      <c r="E58" s="193" t="s">
        <v>2988</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2911</v>
      </c>
      <c r="B59" s="190" t="s">
        <v>2966</v>
      </c>
      <c r="C59" s="191" t="s">
        <v>2989</v>
      </c>
      <c r="D59" s="193" t="s">
        <v>2990</v>
      </c>
      <c r="E59" s="193" t="s">
        <v>2991</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2911</v>
      </c>
      <c r="B60" s="190" t="s">
        <v>2992</v>
      </c>
      <c r="C60" s="191" t="s">
        <v>2993</v>
      </c>
      <c r="D60" s="193" t="s">
        <v>2994</v>
      </c>
      <c r="E60" s="193" t="s">
        <v>2995</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2911</v>
      </c>
      <c r="B61" s="190" t="s">
        <v>2992</v>
      </c>
      <c r="C61" s="191" t="s">
        <v>2996</v>
      </c>
      <c r="D61" s="193" t="s">
        <v>2997</v>
      </c>
      <c r="E61" s="193" t="s">
        <v>2998</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2911</v>
      </c>
      <c r="B62" s="189" t="s">
        <v>2999</v>
      </c>
      <c r="C62" s="189"/>
      <c r="D62" s="192" t="s">
        <v>3000</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2911</v>
      </c>
      <c r="B63" s="190" t="s">
        <v>2999</v>
      </c>
      <c r="C63" s="191" t="s">
        <v>3001</v>
      </c>
      <c r="D63" s="193" t="s">
        <v>3002</v>
      </c>
      <c r="E63" s="193" t="s">
        <v>3003</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2911</v>
      </c>
      <c r="B64" s="190" t="s">
        <v>2999</v>
      </c>
      <c r="C64" s="191" t="s">
        <v>3004</v>
      </c>
      <c r="D64" s="193" t="s">
        <v>3005</v>
      </c>
      <c r="E64" s="193" t="s">
        <v>3006</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2911</v>
      </c>
      <c r="B65" s="190" t="s">
        <v>2999</v>
      </c>
      <c r="C65" s="191" t="s">
        <v>3007</v>
      </c>
      <c r="D65" s="193" t="s">
        <v>3008</v>
      </c>
      <c r="E65" s="193" t="s">
        <v>3009</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2911</v>
      </c>
      <c r="B66" s="190" t="s">
        <v>2999</v>
      </c>
      <c r="C66" s="191" t="s">
        <v>3010</v>
      </c>
      <c r="D66" s="193" t="s">
        <v>3011</v>
      </c>
      <c r="E66" s="193" t="s">
        <v>3012</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2911</v>
      </c>
      <c r="B67" s="190" t="s">
        <v>2999</v>
      </c>
      <c r="C67" s="191" t="s">
        <v>3013</v>
      </c>
      <c r="D67" s="193" t="s">
        <v>3014</v>
      </c>
      <c r="E67" s="193" t="s">
        <v>3015</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2911</v>
      </c>
      <c r="B68" s="190" t="s">
        <v>2999</v>
      </c>
      <c r="C68" s="191" t="s">
        <v>3016</v>
      </c>
      <c r="D68" s="193" t="s">
        <v>3017</v>
      </c>
      <c r="E68" s="193" t="s">
        <v>3018</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2911</v>
      </c>
      <c r="B69" s="190" t="s">
        <v>2999</v>
      </c>
      <c r="C69" s="191" t="s">
        <v>3019</v>
      </c>
      <c r="D69" s="193" t="s">
        <v>3020</v>
      </c>
      <c r="E69" s="193" t="s">
        <v>3021</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2911</v>
      </c>
      <c r="B70" s="190" t="s">
        <v>2999</v>
      </c>
      <c r="C70" s="191" t="s">
        <v>3022</v>
      </c>
      <c r="D70" s="193" t="s">
        <v>3023</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2911</v>
      </c>
      <c r="B71" s="190" t="s">
        <v>2999</v>
      </c>
      <c r="C71" s="191" t="s">
        <v>3024</v>
      </c>
      <c r="D71" s="193" t="s">
        <v>3025</v>
      </c>
      <c r="E71" s="193" t="s">
        <v>3026</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2911</v>
      </c>
      <c r="B72" s="190" t="s">
        <v>2999</v>
      </c>
      <c r="C72" s="191" t="s">
        <v>3027</v>
      </c>
      <c r="D72" s="193" t="s">
        <v>3028</v>
      </c>
      <c r="E72" s="193" t="s">
        <v>3029</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2911</v>
      </c>
      <c r="B73" s="190" t="s">
        <v>2999</v>
      </c>
      <c r="C73" s="191" t="s">
        <v>3030</v>
      </c>
      <c r="D73" s="193" t="s">
        <v>3031</v>
      </c>
      <c r="E73" s="193" t="s">
        <v>3032</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2911</v>
      </c>
      <c r="B74" s="190" t="s">
        <v>2999</v>
      </c>
      <c r="C74" s="191" t="s">
        <v>3033</v>
      </c>
      <c r="D74" s="193" t="s">
        <v>3034</v>
      </c>
      <c r="E74" s="193" t="s">
        <v>3035</v>
      </c>
      <c r="F74" s="195">
        <f>IF(COUNTIF(G74:AT74,"&lt;&gt;")=0,"",SUMPRODUCT(((Recommendations[ImplStatus]="Implemented")+(Recommendations[ImplStatus]="Compensated"))*ISNUMBER(MATCH(Recommendations[Id],G74:AT74,0)))/COUNTIF(G74:AT74,"&lt;&gt;"))</f>
        <v>0</v>
      </c>
      <c r="G74" s="197" t="s">
        <v>316</v>
      </c>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2911</v>
      </c>
      <c r="B75" s="190" t="s">
        <v>2999</v>
      </c>
      <c r="C75" s="191" t="s">
        <v>3036</v>
      </c>
      <c r="D75" s="193" t="s">
        <v>3037</v>
      </c>
      <c r="E75" s="193" t="s">
        <v>3038</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2911</v>
      </c>
      <c r="B76" s="190" t="s">
        <v>2999</v>
      </c>
      <c r="C76" s="191" t="s">
        <v>3039</v>
      </c>
      <c r="D76" s="193" t="s">
        <v>3040</v>
      </c>
      <c r="E76" s="193" t="s">
        <v>3041</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2911</v>
      </c>
      <c r="B77" s="190" t="s">
        <v>2999</v>
      </c>
      <c r="C77" s="191" t="s">
        <v>3042</v>
      </c>
      <c r="D77" s="193" t="s">
        <v>3043</v>
      </c>
      <c r="E77" s="193" t="s">
        <v>3044</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2911</v>
      </c>
      <c r="B78" s="190" t="s">
        <v>2999</v>
      </c>
      <c r="C78" s="191" t="s">
        <v>3045</v>
      </c>
      <c r="D78" s="193" t="s">
        <v>3046</v>
      </c>
      <c r="E78" s="193" t="s">
        <v>3047</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2911</v>
      </c>
      <c r="B79" s="189" t="s">
        <v>2999</v>
      </c>
      <c r="C79" s="189"/>
      <c r="D79" s="192" t="s">
        <v>3048</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3049</v>
      </c>
      <c r="B80" s="190"/>
      <c r="C80" s="191" t="s">
        <v>3050</v>
      </c>
      <c r="D80" s="193" t="s">
        <v>3051</v>
      </c>
      <c r="E80" s="193" t="s">
        <v>3052</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3049</v>
      </c>
      <c r="B81" s="190"/>
      <c r="C81" s="191" t="s">
        <v>3053</v>
      </c>
      <c r="D81" s="193" t="s">
        <v>3054</v>
      </c>
      <c r="E81" s="193" t="s">
        <v>3055</v>
      </c>
      <c r="F81" s="195">
        <f>IF(COUNTIF(G81:AT81,"&lt;&gt;")=0,"",SUMPRODUCT(((Recommendations[ImplStatus]="Implemented")+(Recommendations[ImplStatus]="Compensated"))*ISNUMBER(MATCH(Recommendations[Id],G81:AT81,0)))/COUNTIF(G81:AT81,"&lt;&gt;"))</f>
        <v>0</v>
      </c>
      <c r="G81" s="197" t="s">
        <v>294</v>
      </c>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3049</v>
      </c>
      <c r="B82" s="190"/>
      <c r="C82" s="191" t="s">
        <v>3056</v>
      </c>
      <c r="D82" s="193" t="s">
        <v>3057</v>
      </c>
      <c r="E82" s="193" t="s">
        <v>3058</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3049</v>
      </c>
      <c r="B83" s="190"/>
      <c r="C83" s="191" t="s">
        <v>3059</v>
      </c>
      <c r="D83" s="193" t="s">
        <v>3060</v>
      </c>
      <c r="E83" s="193" t="s">
        <v>3061</v>
      </c>
      <c r="F83" s="195">
        <f>IF(COUNTIF(G83:AT83,"&lt;&gt;")=0,"",SUMPRODUCT(((Recommendations[ImplStatus]="Implemented")+(Recommendations[ImplStatus]="Compensated"))*ISNUMBER(MATCH(Recommendations[Id],G83:AT83,0)))/COUNTIF(G83:AT83,"&lt;&gt;"))</f>
        <v>0</v>
      </c>
      <c r="G83" s="197" t="s">
        <v>241</v>
      </c>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3049</v>
      </c>
      <c r="B84" s="189"/>
      <c r="C84" s="189"/>
      <c r="D84" s="192" t="s">
        <v>3062</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3063</v>
      </c>
      <c r="B85" s="190"/>
      <c r="C85" s="191" t="s">
        <v>3064</v>
      </c>
      <c r="D85" s="193" t="s">
        <v>3065</v>
      </c>
      <c r="E85" s="193" t="s">
        <v>3066</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3063</v>
      </c>
      <c r="B86" s="190"/>
      <c r="C86" s="191" t="s">
        <v>3067</v>
      </c>
      <c r="D86" s="193" t="s">
        <v>3068</v>
      </c>
      <c r="E86" s="193" t="s">
        <v>3069</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3063</v>
      </c>
      <c r="B87" s="190"/>
      <c r="C87" s="191" t="s">
        <v>3070</v>
      </c>
      <c r="D87" s="193" t="s">
        <v>3071</v>
      </c>
      <c r="E87" s="193" t="s">
        <v>3072</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3063</v>
      </c>
      <c r="B88" s="190"/>
      <c r="C88" s="191" t="s">
        <v>3073</v>
      </c>
      <c r="D88" s="193" t="s">
        <v>3074</v>
      </c>
      <c r="E88" s="193" t="s">
        <v>3075</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3063</v>
      </c>
      <c r="B89" s="190"/>
      <c r="C89" s="191" t="s">
        <v>3076</v>
      </c>
      <c r="D89" s="193" t="s">
        <v>3077</v>
      </c>
      <c r="E89" s="193" t="s">
        <v>3078</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3063</v>
      </c>
      <c r="B90" s="189" t="s">
        <v>3079</v>
      </c>
      <c r="C90" s="189"/>
      <c r="D90" s="192" t="s">
        <v>3080</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3063</v>
      </c>
      <c r="B91" s="190" t="s">
        <v>3079</v>
      </c>
      <c r="C91" s="191" t="s">
        <v>3081</v>
      </c>
      <c r="D91" s="193" t="s">
        <v>3082</v>
      </c>
      <c r="E91" s="193" t="s">
        <v>3083</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3063</v>
      </c>
      <c r="B92" s="190" t="s">
        <v>3079</v>
      </c>
      <c r="C92" s="191" t="s">
        <v>3084</v>
      </c>
      <c r="D92" s="193" t="s">
        <v>3085</v>
      </c>
      <c r="E92" s="193" t="s">
        <v>3086</v>
      </c>
      <c r="F92" s="195">
        <f>IF(COUNTIF(G92:AT92,"&lt;&gt;")=0,"",SUMPRODUCT(((Recommendations[ImplStatus]="Implemented")+(Recommendations[ImplStatus]="Compensated"))*ISNUMBER(MATCH(Recommendations[Id],G92:AT92,0)))/COUNTIF(G92:AT92,"&lt;&gt;"))</f>
        <v>0</v>
      </c>
      <c r="G92" s="197" t="s">
        <v>252</v>
      </c>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3079</v>
      </c>
      <c r="C93" s="191" t="s">
        <v>3087</v>
      </c>
      <c r="D93" s="193" t="s">
        <v>3088</v>
      </c>
      <c r="E93" s="193" t="s">
        <v>3089</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3079</v>
      </c>
      <c r="C94" s="191" t="s">
        <v>3090</v>
      </c>
      <c r="D94" s="193" t="s">
        <v>3091</v>
      </c>
      <c r="E94" s="193" t="s">
        <v>3092</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3079</v>
      </c>
      <c r="C95" s="191" t="s">
        <v>3093</v>
      </c>
      <c r="D95" s="193" t="s">
        <v>3094</v>
      </c>
      <c r="E95" s="193" t="s">
        <v>3095</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3079</v>
      </c>
      <c r="C96" s="191" t="s">
        <v>3096</v>
      </c>
      <c r="D96" s="193" t="s">
        <v>3097</v>
      </c>
      <c r="E96" s="193" t="s">
        <v>3098</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3079</v>
      </c>
      <c r="C97" s="191" t="s">
        <v>3099</v>
      </c>
      <c r="D97" s="193" t="s">
        <v>3100</v>
      </c>
      <c r="E97" s="193" t="s">
        <v>3101</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3079</v>
      </c>
      <c r="C98" s="191" t="s">
        <v>3102</v>
      </c>
      <c r="D98" s="193" t="s">
        <v>3103</v>
      </c>
      <c r="E98" s="193" t="s">
        <v>3104</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3105</v>
      </c>
      <c r="C99" s="189"/>
      <c r="D99" s="192" t="s">
        <v>3106</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3105</v>
      </c>
      <c r="C100" s="191" t="s">
        <v>3107</v>
      </c>
      <c r="D100" s="193" t="s">
        <v>3108</v>
      </c>
      <c r="E100" s="193" t="s">
        <v>3109</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3105</v>
      </c>
      <c r="C101" s="191" t="s">
        <v>3110</v>
      </c>
      <c r="D101" s="193" t="s">
        <v>3111</v>
      </c>
      <c r="E101" s="193" t="s">
        <v>3112</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3105</v>
      </c>
      <c r="C102" s="191" t="s">
        <v>3113</v>
      </c>
      <c r="D102" s="193" t="s">
        <v>3114</v>
      </c>
      <c r="E102" s="193" t="s">
        <v>3115</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3105</v>
      </c>
      <c r="C103" s="191" t="s">
        <v>3116</v>
      </c>
      <c r="D103" s="193" t="s">
        <v>3117</v>
      </c>
      <c r="E103" s="193" t="s">
        <v>3118</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3105</v>
      </c>
      <c r="C104" s="199" t="s">
        <v>3119</v>
      </c>
      <c r="D104" s="200" t="s">
        <v>3120</v>
      </c>
      <c r="E104" s="200" t="s">
        <v>3121</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351</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IFERROR(INDEX('Recommendations'!$H$2:$H$69, MATCH(G2,'Recommendations'!$A$2:$A$69,0))="Implemented", FALSE))</xm:f>
            <x14:dxf>
              <font>
                <color rgb="FF000000"/>
              </font>
              <fill>
                <patternFill>
                  <bgColor rgb="FF3C7D22"/>
                </patternFill>
              </fill>
            </x14:dxf>
          </x14:cfRule>
          <x14:cfRule type="expression" priority="2" id="{00000000-000E-0000-0800-000002000000}">
            <xm:f>AND(G2&lt;&gt;"", IFERROR(INDEX('Recommendations'!$H$2:$H$69, MATCH(G2,'Recommendations'!$A$2:$A$69,0))="Compensated", FALSE))</xm:f>
            <x14:dxf>
              <font>
                <color rgb="FF000000"/>
              </font>
              <fill>
                <patternFill>
                  <bgColor rgb="FFC6E0B4"/>
                </patternFill>
              </fill>
            </x14:dxf>
          </x14:cfRule>
          <x14:cfRule type="expression" priority="3" id="{00000000-000E-0000-0800-000003000000}">
            <xm:f>AND(G2&lt;&gt;"", IFERROR(INDEX('Recommendations'!$H$2:$H$69, MATCH(G2,'Recommendations'!$A$2:$A$69,0))="Testing", FALSE))</xm:f>
            <x14:dxf>
              <font>
                <color rgb="FF000000"/>
              </font>
              <fill>
                <patternFill>
                  <bgColor rgb="FFFFC000"/>
                </patternFill>
              </fill>
            </x14:dxf>
          </x14:cfRule>
          <x14:cfRule type="expression" priority="4" id="{00000000-000E-0000-0800-000004000000}">
            <xm:f>AND(G2&lt;&gt;"", IFERROR(INDEX('Recommendations'!$H$2:$H$69, MATCH(G2,'Recommendations'!$A$2:$A$69,0))="Failed", FALSE))</xm:f>
            <x14:dxf>
              <font>
                <color rgb="FF000000"/>
              </font>
              <fill>
                <patternFill>
                  <bgColor rgb="FFD82891"/>
                </patternFill>
              </fill>
            </x14:dxf>
          </x14:cfRule>
          <x14:cfRule type="expression" priority="5" id="{00000000-000E-0000-0800-000005000000}">
            <xm:f>AND(G2&lt;&gt;"", IFERROR(INDEX('Recommendations'!$H$2:$H$69, MATCH(G2,'Recommendations'!$A$2:$A$69,0))="Risk Accepted", FALSE))</xm:f>
            <x14:dxf>
              <font>
                <color rgb="FF000000"/>
              </font>
              <fill>
                <patternFill>
                  <bgColor rgb="FFD9D9D9"/>
                </patternFill>
              </fill>
            </x14:dxf>
          </x14:cfRule>
          <x14:cfRule type="expression" priority="6" id="{00000000-000E-0000-0800-000006000000}">
            <xm:f>AND(G2&lt;&gt;"", IFERROR(INDEX('Recommendations'!$H$2:$H$69, MATCH(G2,'Recommendations'!$A$2:$A$69,0))="N/A",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VMware NSX-T Security Technical Implementation Guide - SHGIR</dc:title>
  <dc:subject>Generated on: 2026-06-08 14:45:24</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2026-06-08T13:45:39Z</dcterms:modified>
  <cp:category>DISA-STIG</cp:category>
  <cp:contentStatus>Draft</cp:contentStatus>
</cp:coreProperties>
</file>